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 Documents\Cambridge PPF\Cambourne\"/>
    </mc:Choice>
  </mc:AlternateContent>
  <xr:revisionPtr revIDLastSave="0" documentId="13_ncr:1_{B563760C-5692-4571-9458-A03854493CE4}" xr6:coauthVersionLast="47" xr6:coauthVersionMax="47" xr10:uidLastSave="{00000000-0000-0000-0000-000000000000}"/>
  <bookViews>
    <workbookView xWindow="-135" yWindow="-135" windowWidth="29070" windowHeight="17550" xr2:uid="{77E074A5-AD60-44D4-B156-BA7B8077420E}"/>
  </bookViews>
  <sheets>
    <sheet name="Summary" sheetId="4" r:id="rId1"/>
    <sheet name="GDV" sheetId="2" r:id="rId2"/>
    <sheet name="Historical growth" sheetId="6" r:id="rId3"/>
    <sheet name="Constants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2" l="1"/>
  <c r="P4" i="2" s="1"/>
  <c r="G10" i="4"/>
  <c r="G5" i="4" a="1"/>
  <c r="G5" i="4"/>
  <c r="G6" i="4"/>
  <c r="G23" i="4" s="1"/>
  <c r="V3" i="2"/>
  <c r="V4" i="2" s="1"/>
  <c r="V5" i="2" s="1"/>
  <c r="V6" i="2" s="1"/>
  <c r="V7" i="2" s="1"/>
  <c r="V8" i="2" s="1"/>
  <c r="V9" i="2" s="1"/>
  <c r="V10" i="2" s="1"/>
  <c r="V11" i="2" s="1"/>
  <c r="V12" i="2" s="1"/>
  <c r="V13" i="2" s="1"/>
  <c r="V14" i="2" s="1"/>
  <c r="V15" i="2" s="1"/>
  <c r="V16" i="2" s="1"/>
  <c r="V17" i="2" s="1"/>
  <c r="V18" i="2" s="1"/>
  <c r="V19" i="2" s="1"/>
  <c r="V20" i="2" s="1"/>
  <c r="V21" i="2" s="1"/>
  <c r="V22" i="2" s="1"/>
  <c r="V23" i="2" s="1"/>
  <c r="V24" i="2" s="1"/>
  <c r="V25" i="2" s="1"/>
  <c r="V26" i="2" s="1"/>
  <c r="V27" i="2" s="1"/>
  <c r="V28" i="2" s="1"/>
  <c r="H10" i="4"/>
  <c r="H5" i="4" a="1"/>
  <c r="H5" i="4" s="1"/>
  <c r="AB3" i="2"/>
  <c r="J3" i="2"/>
  <c r="J4" i="2" s="1"/>
  <c r="J5" i="2" s="1"/>
  <c r="J6" i="2" s="1"/>
  <c r="J7" i="2" s="1"/>
  <c r="J8" i="2" s="1"/>
  <c r="J9" i="2" s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J21" i="2" s="1"/>
  <c r="J22" i="2" s="1"/>
  <c r="J23" i="2" s="1"/>
  <c r="J24" i="2" s="1"/>
  <c r="J25" i="2" s="1"/>
  <c r="J26" i="2" s="1"/>
  <c r="J27" i="2" s="1"/>
  <c r="J28" i="2" s="1"/>
  <c r="F10" i="4"/>
  <c r="F5" i="4" a="1"/>
  <c r="F5" i="4" s="1"/>
  <c r="C25" i="4"/>
  <c r="AH4" i="2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3" i="2"/>
  <c r="P5" i="2" l="1"/>
  <c r="Q4" i="2"/>
  <c r="R4" i="2" s="1"/>
  <c r="Q3" i="2"/>
  <c r="R3" i="2" s="1"/>
  <c r="W4" i="2"/>
  <c r="X4" i="2" s="1"/>
  <c r="W3" i="2"/>
  <c r="X3" i="2" s="1"/>
  <c r="K4" i="2"/>
  <c r="L4" i="2" s="1"/>
  <c r="K3" i="2"/>
  <c r="L3" i="2" s="1"/>
  <c r="D10" i="6"/>
  <c r="D11" i="6"/>
  <c r="D12" i="6" s="1"/>
  <c r="D4" i="6"/>
  <c r="D5" i="6"/>
  <c r="D8" i="6"/>
  <c r="D2" i="6"/>
  <c r="D9" i="6"/>
  <c r="D3" i="6"/>
  <c r="C11" i="6"/>
  <c r="C9" i="6"/>
  <c r="C8" i="6"/>
  <c r="B11" i="6"/>
  <c r="B12" i="6" s="1"/>
  <c r="B10" i="6"/>
  <c r="C5" i="6"/>
  <c r="B5" i="6"/>
  <c r="C2" i="6"/>
  <c r="C3" i="6"/>
  <c r="C6" i="6" s="1"/>
  <c r="B4" i="6"/>
  <c r="B6" i="6"/>
  <c r="AB4" i="2"/>
  <c r="D3" i="2"/>
  <c r="E3" i="2" s="1"/>
  <c r="F3" i="2" s="1"/>
  <c r="C31" i="2"/>
  <c r="B31" i="2"/>
  <c r="D5" i="4" a="1"/>
  <c r="D5" i="4" s="1"/>
  <c r="E5" i="4" a="1"/>
  <c r="E5" i="4" s="1"/>
  <c r="I5" i="4" a="1"/>
  <c r="I5" i="4" s="1"/>
  <c r="J5" i="4" a="1"/>
  <c r="J5" i="4" s="1"/>
  <c r="C5" i="4" a="1"/>
  <c r="C5" i="4" s="1"/>
  <c r="C20" i="4" s="1"/>
  <c r="E10" i="4"/>
  <c r="D6" i="6" l="1"/>
  <c r="C12" i="6"/>
  <c r="Q5" i="2"/>
  <c r="R5" i="2" s="1"/>
  <c r="P6" i="2"/>
  <c r="W5" i="2"/>
  <c r="X5" i="2" s="1"/>
  <c r="H6" i="4"/>
  <c r="H23" i="4" s="1"/>
  <c r="F6" i="4"/>
  <c r="F23" i="4" s="1"/>
  <c r="K5" i="2"/>
  <c r="L5" i="2" s="1"/>
  <c r="C10" i="6"/>
  <c r="C4" i="6"/>
  <c r="AC4" i="2"/>
  <c r="AD4" i="2" s="1"/>
  <c r="AB5" i="2"/>
  <c r="AC3" i="2"/>
  <c r="AD3" i="2" s="1"/>
  <c r="D4" i="2"/>
  <c r="C16" i="4"/>
  <c r="J6" i="4"/>
  <c r="J23" i="4" s="1"/>
  <c r="I6" i="4"/>
  <c r="I23" i="4" s="1"/>
  <c r="E6" i="4"/>
  <c r="E23" i="4" s="1"/>
  <c r="D6" i="4"/>
  <c r="D23" i="4" s="1"/>
  <c r="P7" i="2" l="1"/>
  <c r="Q6" i="2"/>
  <c r="R6" i="2" s="1"/>
  <c r="W6" i="2"/>
  <c r="X6" i="2" s="1"/>
  <c r="K6" i="2"/>
  <c r="L6" i="2" s="1"/>
  <c r="AB6" i="2"/>
  <c r="AC5" i="2"/>
  <c r="AD5" i="2" s="1"/>
  <c r="D5" i="2"/>
  <c r="E4" i="2"/>
  <c r="F4" i="2" s="1"/>
  <c r="E15" i="4"/>
  <c r="Q7" i="2" l="1"/>
  <c r="R7" i="2" s="1"/>
  <c r="P8" i="2"/>
  <c r="W7" i="2"/>
  <c r="X7" i="2" s="1"/>
  <c r="K7" i="2"/>
  <c r="L7" i="2" s="1"/>
  <c r="AB7" i="2"/>
  <c r="AC6" i="2"/>
  <c r="AD6" i="2" s="1"/>
  <c r="D6" i="2"/>
  <c r="E5" i="2"/>
  <c r="F5" i="2" s="1"/>
  <c r="E16" i="4"/>
  <c r="E19" i="4" s="1"/>
  <c r="E20" i="4" s="1"/>
  <c r="E21" i="4" s="1"/>
  <c r="C28" i="4"/>
  <c r="I10" i="4"/>
  <c r="J10" i="4"/>
  <c r="D10" i="4"/>
  <c r="P9" i="2" l="1"/>
  <c r="Q8" i="2"/>
  <c r="R8" i="2" s="1"/>
  <c r="W8" i="2"/>
  <c r="X8" i="2" s="1"/>
  <c r="K8" i="2"/>
  <c r="L8" i="2" s="1"/>
  <c r="E25" i="4"/>
  <c r="E28" i="4" s="1"/>
  <c r="AB8" i="2"/>
  <c r="AC7" i="2"/>
  <c r="AD7" i="2" s="1"/>
  <c r="D7" i="2"/>
  <c r="E6" i="2"/>
  <c r="F6" i="2" s="1"/>
  <c r="C33" i="4"/>
  <c r="C32" i="4"/>
  <c r="D15" i="4"/>
  <c r="I15" i="4"/>
  <c r="Q9" i="2" l="1"/>
  <c r="R9" i="2" s="1"/>
  <c r="P10" i="2"/>
  <c r="W9" i="2"/>
  <c r="X9" i="2" s="1"/>
  <c r="K9" i="2"/>
  <c r="L9" i="2" s="1"/>
  <c r="E33" i="4"/>
  <c r="E32" i="4"/>
  <c r="AB9" i="2"/>
  <c r="AC8" i="2"/>
  <c r="AD8" i="2" s="1"/>
  <c r="D8" i="2"/>
  <c r="E7" i="2"/>
  <c r="F7" i="2" s="1"/>
  <c r="I16" i="4"/>
  <c r="D16" i="4"/>
  <c r="D19" i="4" s="1"/>
  <c r="D20" i="4" s="1"/>
  <c r="D21" i="4" s="1"/>
  <c r="D25" i="4" s="1"/>
  <c r="B30" i="2"/>
  <c r="B32" i="2" s="1"/>
  <c r="Q10" i="2" l="1"/>
  <c r="R10" i="2" s="1"/>
  <c r="P11" i="2"/>
  <c r="W10" i="2"/>
  <c r="X10" i="2" s="1"/>
  <c r="K10" i="2"/>
  <c r="L10" i="2" s="1"/>
  <c r="AB10" i="2"/>
  <c r="AC9" i="2"/>
  <c r="AD9" i="2" s="1"/>
  <c r="D9" i="2"/>
  <c r="E8" i="2"/>
  <c r="F8" i="2" s="1"/>
  <c r="I19" i="4"/>
  <c r="I20" i="4" s="1"/>
  <c r="I21" i="4" s="1"/>
  <c r="D28" i="4"/>
  <c r="D33" i="4" s="1"/>
  <c r="C30" i="2"/>
  <c r="C32" i="2" s="1"/>
  <c r="AI3" i="2"/>
  <c r="P12" i="2" l="1"/>
  <c r="Q11" i="2"/>
  <c r="R11" i="2" s="1"/>
  <c r="Y3" i="2"/>
  <c r="Z3" i="2" s="1"/>
  <c r="S3" i="2"/>
  <c r="T3" i="2" s="1"/>
  <c r="W11" i="2"/>
  <c r="X11" i="2" s="1"/>
  <c r="AE3" i="2"/>
  <c r="AF3" i="2" s="1"/>
  <c r="M3" i="2"/>
  <c r="K11" i="2"/>
  <c r="L11" i="2" s="1"/>
  <c r="I25" i="4"/>
  <c r="I28" i="4" s="1"/>
  <c r="AI4" i="2"/>
  <c r="G3" i="2"/>
  <c r="H3" i="2" s="1"/>
  <c r="AB11" i="2"/>
  <c r="AC10" i="2"/>
  <c r="AD10" i="2" s="1"/>
  <c r="D10" i="2"/>
  <c r="E9" i="2"/>
  <c r="F9" i="2" s="1"/>
  <c r="D32" i="4"/>
  <c r="Y4" i="2" l="1"/>
  <c r="Z4" i="2" s="1"/>
  <c r="S4" i="2"/>
  <c r="T4" i="2" s="1"/>
  <c r="Q12" i="2"/>
  <c r="R12" i="2" s="1"/>
  <c r="P13" i="2"/>
  <c r="W12" i="2"/>
  <c r="X12" i="2" s="1"/>
  <c r="N3" i="2"/>
  <c r="AE4" i="2"/>
  <c r="AF4" i="2" s="1"/>
  <c r="M4" i="2"/>
  <c r="N4" i="2" s="1"/>
  <c r="K12" i="2"/>
  <c r="L12" i="2" s="1"/>
  <c r="I32" i="4"/>
  <c r="I33" i="4"/>
  <c r="AI5" i="2"/>
  <c r="G4" i="2"/>
  <c r="H4" i="2" s="1"/>
  <c r="AB12" i="2"/>
  <c r="AC11" i="2"/>
  <c r="AD11" i="2" s="1"/>
  <c r="D11" i="2"/>
  <c r="E10" i="2"/>
  <c r="F10" i="2" s="1"/>
  <c r="P14" i="2" l="1"/>
  <c r="Q13" i="2"/>
  <c r="R13" i="2" s="1"/>
  <c r="Y5" i="2"/>
  <c r="Z5" i="2" s="1"/>
  <c r="S5" i="2"/>
  <c r="T5" i="2" s="1"/>
  <c r="W13" i="2"/>
  <c r="X13" i="2" s="1"/>
  <c r="AE5" i="2"/>
  <c r="AF5" i="2" s="1"/>
  <c r="M5" i="2"/>
  <c r="N5" i="2" s="1"/>
  <c r="K13" i="2"/>
  <c r="L13" i="2" s="1"/>
  <c r="AI6" i="2"/>
  <c r="G5" i="2"/>
  <c r="H5" i="2" s="1"/>
  <c r="AB13" i="2"/>
  <c r="AC12" i="2"/>
  <c r="AD12" i="2" s="1"/>
  <c r="D12" i="2"/>
  <c r="E11" i="2"/>
  <c r="F11" i="2" s="1"/>
  <c r="Y6" i="2" l="1"/>
  <c r="Z6" i="2" s="1"/>
  <c r="S6" i="2"/>
  <c r="T6" i="2" s="1"/>
  <c r="Q14" i="2"/>
  <c r="R14" i="2" s="1"/>
  <c r="P15" i="2"/>
  <c r="W14" i="2"/>
  <c r="X14" i="2" s="1"/>
  <c r="AE6" i="2"/>
  <c r="AF6" i="2" s="1"/>
  <c r="M6" i="2"/>
  <c r="N6" i="2" s="1"/>
  <c r="K14" i="2"/>
  <c r="L14" i="2" s="1"/>
  <c r="AI7" i="2"/>
  <c r="G6" i="2"/>
  <c r="H6" i="2" s="1"/>
  <c r="AB14" i="2"/>
  <c r="AC13" i="2"/>
  <c r="AD13" i="2" s="1"/>
  <c r="D13" i="2"/>
  <c r="E12" i="2"/>
  <c r="F12" i="2" s="1"/>
  <c r="Y7" i="2" l="1"/>
  <c r="Z7" i="2" s="1"/>
  <c r="S7" i="2"/>
  <c r="T7" i="2" s="1"/>
  <c r="P16" i="2"/>
  <c r="Q15" i="2"/>
  <c r="R15" i="2" s="1"/>
  <c r="W15" i="2"/>
  <c r="X15" i="2" s="1"/>
  <c r="AE7" i="2"/>
  <c r="AF7" i="2" s="1"/>
  <c r="M7" i="2"/>
  <c r="N7" i="2" s="1"/>
  <c r="K15" i="2"/>
  <c r="L15" i="2" s="1"/>
  <c r="AI8" i="2"/>
  <c r="G7" i="2"/>
  <c r="H7" i="2" s="1"/>
  <c r="AB15" i="2"/>
  <c r="AC14" i="2"/>
  <c r="AD14" i="2" s="1"/>
  <c r="D14" i="2"/>
  <c r="E13" i="2"/>
  <c r="F13" i="2" s="1"/>
  <c r="Y8" i="2" l="1"/>
  <c r="Z8" i="2" s="1"/>
  <c r="S8" i="2"/>
  <c r="T8" i="2" s="1"/>
  <c r="P17" i="2"/>
  <c r="Q16" i="2"/>
  <c r="R16" i="2" s="1"/>
  <c r="W16" i="2"/>
  <c r="X16" i="2" s="1"/>
  <c r="AE8" i="2"/>
  <c r="AF8" i="2" s="1"/>
  <c r="M8" i="2"/>
  <c r="N8" i="2" s="1"/>
  <c r="K16" i="2"/>
  <c r="L16" i="2" s="1"/>
  <c r="AI9" i="2"/>
  <c r="G8" i="2"/>
  <c r="H8" i="2" s="1"/>
  <c r="AB16" i="2"/>
  <c r="AC15" i="2"/>
  <c r="AD15" i="2" s="1"/>
  <c r="D15" i="2"/>
  <c r="E14" i="2"/>
  <c r="F14" i="2" s="1"/>
  <c r="Y9" i="2" l="1"/>
  <c r="Z9" i="2" s="1"/>
  <c r="S9" i="2"/>
  <c r="T9" i="2" s="1"/>
  <c r="Q17" i="2"/>
  <c r="R17" i="2" s="1"/>
  <c r="P18" i="2"/>
  <c r="W17" i="2"/>
  <c r="X17" i="2" s="1"/>
  <c r="AE9" i="2"/>
  <c r="AF9" i="2" s="1"/>
  <c r="M9" i="2"/>
  <c r="N9" i="2" s="1"/>
  <c r="K17" i="2"/>
  <c r="L17" i="2" s="1"/>
  <c r="AI10" i="2"/>
  <c r="G9" i="2"/>
  <c r="H9" i="2" s="1"/>
  <c r="AB17" i="2"/>
  <c r="AC16" i="2"/>
  <c r="AD16" i="2" s="1"/>
  <c r="D16" i="2"/>
  <c r="E15" i="2"/>
  <c r="F15" i="2" s="1"/>
  <c r="Y10" i="2" l="1"/>
  <c r="Z10" i="2" s="1"/>
  <c r="S10" i="2"/>
  <c r="T10" i="2" s="1"/>
  <c r="P19" i="2"/>
  <c r="Q18" i="2"/>
  <c r="R18" i="2" s="1"/>
  <c r="W18" i="2"/>
  <c r="X18" i="2" s="1"/>
  <c r="AE10" i="2"/>
  <c r="AF10" i="2" s="1"/>
  <c r="M10" i="2"/>
  <c r="N10" i="2" s="1"/>
  <c r="K18" i="2"/>
  <c r="L18" i="2" s="1"/>
  <c r="AI11" i="2"/>
  <c r="G10" i="2"/>
  <c r="H10" i="2" s="1"/>
  <c r="AB18" i="2"/>
  <c r="AC17" i="2"/>
  <c r="AD17" i="2" s="1"/>
  <c r="D17" i="2"/>
  <c r="E16" i="2"/>
  <c r="F16" i="2" s="1"/>
  <c r="Y11" i="2" l="1"/>
  <c r="Z11" i="2" s="1"/>
  <c r="S11" i="2"/>
  <c r="T11" i="2" s="1"/>
  <c r="Q19" i="2"/>
  <c r="R19" i="2" s="1"/>
  <c r="P20" i="2"/>
  <c r="W19" i="2"/>
  <c r="X19" i="2" s="1"/>
  <c r="AE11" i="2"/>
  <c r="AF11" i="2" s="1"/>
  <c r="M11" i="2"/>
  <c r="N11" i="2" s="1"/>
  <c r="K19" i="2"/>
  <c r="L19" i="2" s="1"/>
  <c r="AI12" i="2"/>
  <c r="G11" i="2"/>
  <c r="H11" i="2" s="1"/>
  <c r="AB19" i="2"/>
  <c r="AC18" i="2"/>
  <c r="AD18" i="2" s="1"/>
  <c r="D18" i="2"/>
  <c r="E17" i="2"/>
  <c r="F17" i="2" s="1"/>
  <c r="Y12" i="2" l="1"/>
  <c r="Z12" i="2" s="1"/>
  <c r="S12" i="2"/>
  <c r="T12" i="2" s="1"/>
  <c r="P21" i="2"/>
  <c r="Q20" i="2"/>
  <c r="R20" i="2" s="1"/>
  <c r="W20" i="2"/>
  <c r="X20" i="2" s="1"/>
  <c r="AE12" i="2"/>
  <c r="AF12" i="2" s="1"/>
  <c r="M12" i="2"/>
  <c r="N12" i="2" s="1"/>
  <c r="K20" i="2"/>
  <c r="L20" i="2" s="1"/>
  <c r="AI13" i="2"/>
  <c r="G12" i="2"/>
  <c r="H12" i="2" s="1"/>
  <c r="AB20" i="2"/>
  <c r="AC19" i="2"/>
  <c r="AD19" i="2" s="1"/>
  <c r="D19" i="2"/>
  <c r="E18" i="2"/>
  <c r="F18" i="2" s="1"/>
  <c r="Y13" i="2" l="1"/>
  <c r="Z13" i="2" s="1"/>
  <c r="S13" i="2"/>
  <c r="T13" i="2" s="1"/>
  <c r="Q21" i="2"/>
  <c r="R21" i="2" s="1"/>
  <c r="P22" i="2"/>
  <c r="W21" i="2"/>
  <c r="X21" i="2" s="1"/>
  <c r="AE13" i="2"/>
  <c r="AF13" i="2" s="1"/>
  <c r="M13" i="2"/>
  <c r="N13" i="2" s="1"/>
  <c r="K21" i="2"/>
  <c r="L21" i="2" s="1"/>
  <c r="AI14" i="2"/>
  <c r="G13" i="2"/>
  <c r="H13" i="2" s="1"/>
  <c r="AB21" i="2"/>
  <c r="AC20" i="2"/>
  <c r="AD20" i="2" s="1"/>
  <c r="D20" i="2"/>
  <c r="E19" i="2"/>
  <c r="F19" i="2" s="1"/>
  <c r="Q22" i="2" l="1"/>
  <c r="R22" i="2" s="1"/>
  <c r="P23" i="2"/>
  <c r="Y14" i="2"/>
  <c r="Z14" i="2" s="1"/>
  <c r="S14" i="2"/>
  <c r="T14" i="2" s="1"/>
  <c r="W22" i="2"/>
  <c r="X22" i="2" s="1"/>
  <c r="K22" i="2"/>
  <c r="L22" i="2" s="1"/>
  <c r="AE14" i="2"/>
  <c r="AF14" i="2" s="1"/>
  <c r="M14" i="2"/>
  <c r="N14" i="2" s="1"/>
  <c r="AI15" i="2"/>
  <c r="G14" i="2"/>
  <c r="H14" i="2" s="1"/>
  <c r="AB22" i="2"/>
  <c r="AC21" i="2"/>
  <c r="AD21" i="2" s="1"/>
  <c r="D21" i="2"/>
  <c r="E20" i="2"/>
  <c r="F20" i="2" s="1"/>
  <c r="P24" i="2" l="1"/>
  <c r="Q23" i="2"/>
  <c r="R23" i="2" s="1"/>
  <c r="Y15" i="2"/>
  <c r="Z15" i="2" s="1"/>
  <c r="S15" i="2"/>
  <c r="T15" i="2" s="1"/>
  <c r="W23" i="2"/>
  <c r="X23" i="2" s="1"/>
  <c r="AE15" i="2"/>
  <c r="AF15" i="2" s="1"/>
  <c r="M15" i="2"/>
  <c r="N15" i="2" s="1"/>
  <c r="K23" i="2"/>
  <c r="L23" i="2" s="1"/>
  <c r="AI16" i="2"/>
  <c r="G15" i="2"/>
  <c r="H15" i="2" s="1"/>
  <c r="AB23" i="2"/>
  <c r="AC22" i="2"/>
  <c r="AD22" i="2" s="1"/>
  <c r="D22" i="2"/>
  <c r="E21" i="2"/>
  <c r="F21" i="2" s="1"/>
  <c r="Y16" i="2" l="1"/>
  <c r="Z16" i="2" s="1"/>
  <c r="S16" i="2"/>
  <c r="T16" i="2" s="1"/>
  <c r="Q24" i="2"/>
  <c r="R24" i="2" s="1"/>
  <c r="P25" i="2"/>
  <c r="W24" i="2"/>
  <c r="X24" i="2" s="1"/>
  <c r="AE16" i="2"/>
  <c r="AF16" i="2" s="1"/>
  <c r="M16" i="2"/>
  <c r="N16" i="2" s="1"/>
  <c r="K24" i="2"/>
  <c r="L24" i="2" s="1"/>
  <c r="AI17" i="2"/>
  <c r="G16" i="2"/>
  <c r="H16" i="2" s="1"/>
  <c r="AB24" i="2"/>
  <c r="AC23" i="2"/>
  <c r="AD23" i="2" s="1"/>
  <c r="D23" i="2"/>
  <c r="E22" i="2"/>
  <c r="F22" i="2" s="1"/>
  <c r="P26" i="2" l="1"/>
  <c r="Q25" i="2"/>
  <c r="R25" i="2" s="1"/>
  <c r="Y17" i="2"/>
  <c r="Z17" i="2" s="1"/>
  <c r="S17" i="2"/>
  <c r="T17" i="2" s="1"/>
  <c r="W25" i="2"/>
  <c r="X25" i="2" s="1"/>
  <c r="K25" i="2"/>
  <c r="L25" i="2" s="1"/>
  <c r="AE17" i="2"/>
  <c r="AF17" i="2" s="1"/>
  <c r="M17" i="2"/>
  <c r="N17" i="2" s="1"/>
  <c r="AI18" i="2"/>
  <c r="G17" i="2"/>
  <c r="H17" i="2" s="1"/>
  <c r="AB25" i="2"/>
  <c r="AC24" i="2"/>
  <c r="AD24" i="2" s="1"/>
  <c r="D24" i="2"/>
  <c r="E23" i="2"/>
  <c r="F23" i="2" s="1"/>
  <c r="Y18" i="2" l="1"/>
  <c r="Z18" i="2" s="1"/>
  <c r="S18" i="2"/>
  <c r="T18" i="2" s="1"/>
  <c r="Q26" i="2"/>
  <c r="R26" i="2" s="1"/>
  <c r="P27" i="2"/>
  <c r="W26" i="2"/>
  <c r="X26" i="2" s="1"/>
  <c r="K26" i="2"/>
  <c r="L26" i="2" s="1"/>
  <c r="AE18" i="2"/>
  <c r="AF18" i="2" s="1"/>
  <c r="M18" i="2"/>
  <c r="N18" i="2" s="1"/>
  <c r="AI19" i="2"/>
  <c r="G18" i="2"/>
  <c r="H18" i="2" s="1"/>
  <c r="AB26" i="2"/>
  <c r="AC25" i="2"/>
  <c r="AD25" i="2" s="1"/>
  <c r="D25" i="2"/>
  <c r="E24" i="2"/>
  <c r="F24" i="2" s="1"/>
  <c r="Y19" i="2" l="1"/>
  <c r="Z19" i="2" s="1"/>
  <c r="S19" i="2"/>
  <c r="T19" i="2" s="1"/>
  <c r="P28" i="2"/>
  <c r="Q28" i="2" s="1"/>
  <c r="R28" i="2" s="1"/>
  <c r="Q27" i="2"/>
  <c r="R27" i="2" s="1"/>
  <c r="W27" i="2"/>
  <c r="X27" i="2" s="1"/>
  <c r="W28" i="2"/>
  <c r="X28" i="2" s="1"/>
  <c r="AE19" i="2"/>
  <c r="AF19" i="2" s="1"/>
  <c r="M19" i="2"/>
  <c r="N19" i="2" s="1"/>
  <c r="K27" i="2"/>
  <c r="L27" i="2" s="1"/>
  <c r="K28" i="2"/>
  <c r="L28" i="2" s="1"/>
  <c r="AI20" i="2"/>
  <c r="G19" i="2"/>
  <c r="H19" i="2" s="1"/>
  <c r="AB27" i="2"/>
  <c r="AC26" i="2"/>
  <c r="AD26" i="2" s="1"/>
  <c r="D26" i="2"/>
  <c r="E25" i="2"/>
  <c r="F25" i="2" s="1"/>
  <c r="Y20" i="2" l="1"/>
  <c r="Z20" i="2" s="1"/>
  <c r="S20" i="2"/>
  <c r="T20" i="2" s="1"/>
  <c r="AE20" i="2"/>
  <c r="AF20" i="2" s="1"/>
  <c r="M20" i="2"/>
  <c r="N20" i="2" s="1"/>
  <c r="AI21" i="2"/>
  <c r="G20" i="2"/>
  <c r="H20" i="2" s="1"/>
  <c r="AB28" i="2"/>
  <c r="AC28" i="2" s="1"/>
  <c r="AD28" i="2" s="1"/>
  <c r="AC27" i="2"/>
  <c r="AD27" i="2" s="1"/>
  <c r="D27" i="2"/>
  <c r="E26" i="2"/>
  <c r="F26" i="2" s="1"/>
  <c r="Y21" i="2" l="1"/>
  <c r="Z21" i="2" s="1"/>
  <c r="S21" i="2"/>
  <c r="T21" i="2" s="1"/>
  <c r="AE21" i="2"/>
  <c r="AF21" i="2" s="1"/>
  <c r="M21" i="2"/>
  <c r="N21" i="2" s="1"/>
  <c r="AI22" i="2"/>
  <c r="G21" i="2"/>
  <c r="H21" i="2" s="1"/>
  <c r="D28" i="2"/>
  <c r="E28" i="2" s="1"/>
  <c r="F28" i="2" s="1"/>
  <c r="E27" i="2"/>
  <c r="F27" i="2" s="1"/>
  <c r="Y22" i="2" l="1"/>
  <c r="Z22" i="2" s="1"/>
  <c r="S22" i="2"/>
  <c r="T22" i="2" s="1"/>
  <c r="AE22" i="2"/>
  <c r="AF22" i="2" s="1"/>
  <c r="M22" i="2"/>
  <c r="N22" i="2" s="1"/>
  <c r="AI23" i="2"/>
  <c r="G22" i="2"/>
  <c r="H22" i="2" s="1"/>
  <c r="Y23" i="2" l="1"/>
  <c r="Z23" i="2" s="1"/>
  <c r="S23" i="2"/>
  <c r="T23" i="2" s="1"/>
  <c r="AE23" i="2"/>
  <c r="AF23" i="2" s="1"/>
  <c r="M23" i="2"/>
  <c r="N23" i="2" s="1"/>
  <c r="AI24" i="2"/>
  <c r="G23" i="2"/>
  <c r="H23" i="2" s="1"/>
  <c r="Y24" i="2" l="1"/>
  <c r="Z24" i="2" s="1"/>
  <c r="S24" i="2"/>
  <c r="T24" i="2" s="1"/>
  <c r="AE24" i="2"/>
  <c r="AF24" i="2" s="1"/>
  <c r="M24" i="2"/>
  <c r="N24" i="2" s="1"/>
  <c r="AI25" i="2"/>
  <c r="G24" i="2"/>
  <c r="H24" i="2" s="1"/>
  <c r="Y25" i="2" l="1"/>
  <c r="Z25" i="2" s="1"/>
  <c r="S25" i="2"/>
  <c r="T25" i="2" s="1"/>
  <c r="AE25" i="2"/>
  <c r="AF25" i="2" s="1"/>
  <c r="M25" i="2"/>
  <c r="N25" i="2" s="1"/>
  <c r="AI26" i="2"/>
  <c r="G25" i="2"/>
  <c r="H25" i="2" s="1"/>
  <c r="Y26" i="2" l="1"/>
  <c r="Z26" i="2" s="1"/>
  <c r="S26" i="2"/>
  <c r="T26" i="2" s="1"/>
  <c r="AE26" i="2"/>
  <c r="AF26" i="2" s="1"/>
  <c r="M26" i="2"/>
  <c r="N26" i="2" s="1"/>
  <c r="AI27" i="2"/>
  <c r="G26" i="2"/>
  <c r="H26" i="2" s="1"/>
  <c r="Y27" i="2" l="1"/>
  <c r="Z27" i="2" s="1"/>
  <c r="S27" i="2"/>
  <c r="T27" i="2" s="1"/>
  <c r="AE27" i="2"/>
  <c r="AF27" i="2" s="1"/>
  <c r="M27" i="2"/>
  <c r="N27" i="2" s="1"/>
  <c r="AI28" i="2"/>
  <c r="S28" i="2" s="1"/>
  <c r="G27" i="2"/>
  <c r="H27" i="2" s="1"/>
  <c r="T28" i="2" l="1"/>
  <c r="T30" i="2" s="1"/>
  <c r="G15" i="4" s="1"/>
  <c r="M28" i="2"/>
  <c r="N28" i="2" s="1"/>
  <c r="N30" i="2" s="1"/>
  <c r="F15" i="4" s="1"/>
  <c r="F16" i="4" s="1"/>
  <c r="F19" i="4" s="1"/>
  <c r="F20" i="4" s="1"/>
  <c r="F21" i="4" s="1"/>
  <c r="F25" i="4" s="1"/>
  <c r="F28" i="4" s="1"/>
  <c r="F33" i="4" s="1"/>
  <c r="Y28" i="2"/>
  <c r="Z28" i="2" s="1"/>
  <c r="Z30" i="2" s="1"/>
  <c r="H15" i="4" s="1"/>
  <c r="H16" i="4" s="1"/>
  <c r="H19" i="4" s="1"/>
  <c r="H20" i="4" s="1"/>
  <c r="H21" i="4" s="1"/>
  <c r="H25" i="4" s="1"/>
  <c r="H28" i="4" s="1"/>
  <c r="G28" i="2"/>
  <c r="AE28" i="2"/>
  <c r="G16" i="4" l="1"/>
  <c r="G19" i="4" s="1"/>
  <c r="G20" i="4" s="1"/>
  <c r="G21" i="4" s="1"/>
  <c r="G25" i="4"/>
  <c r="G28" i="4" s="1"/>
  <c r="AF30" i="2"/>
  <c r="AF28" i="2"/>
  <c r="H32" i="4"/>
  <c r="H33" i="4"/>
  <c r="F32" i="4"/>
  <c r="H28" i="2"/>
  <c r="H30" i="2" s="1"/>
  <c r="H32" i="2" s="1"/>
  <c r="J15" i="4"/>
  <c r="G33" i="4" l="1"/>
  <c r="G32" i="4"/>
  <c r="J16" i="4"/>
  <c r="J19" i="4" s="1"/>
  <c r="J20" i="4" s="1"/>
  <c r="J21" i="4" s="1"/>
  <c r="J25" i="4" s="1"/>
  <c r="J28" i="4" l="1"/>
  <c r="J33" i="4" l="1"/>
  <c r="J3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<sst xmlns="http://schemas.openxmlformats.org/spreadsheetml/2006/main" count="91" uniqueCount="65">
  <si>
    <t>GDV</t>
  </si>
  <si>
    <t>Total benefits</t>
  </si>
  <si>
    <t>Bourn Airfield only</t>
  </si>
  <si>
    <t>Percentage difference from reference</t>
  </si>
  <si>
    <t>Difference from reference</t>
  </si>
  <si>
    <t>GDP deflator index in 2010</t>
  </si>
  <si>
    <t>GDP deflator index in 2024</t>
  </si>
  <si>
    <t>Year</t>
  </si>
  <si>
    <t>Discounted value</t>
  </si>
  <si>
    <t>Discount factor</t>
  </si>
  <si>
    <t>TOTALS</t>
  </si>
  <si>
    <t>Bourn Airfield</t>
  </si>
  <si>
    <t>Cambourne West</t>
  </si>
  <si>
    <t>ECA Table 4-17</t>
  </si>
  <si>
    <t>LVU benefits</t>
  </si>
  <si>
    <t>CtoC Scheme costs</t>
  </si>
  <si>
    <t>CtoC Scheme BCR</t>
  </si>
  <si>
    <t>CtoC Scheme Net Present Value</t>
  </si>
  <si>
    <t>Total additionality</t>
  </si>
  <si>
    <t>Dwellings</t>
  </si>
  <si>
    <t>Bourn Airfield only with house prices adjusted</t>
  </si>
  <si>
    <t>Adjustment to GDV-aportioned costs</t>
  </si>
  <si>
    <t>Build cost per dwelling</t>
  </si>
  <si>
    <t>GDV per dwelling</t>
  </si>
  <si>
    <t>House prices adjusted down</t>
  </si>
  <si>
    <t>Future real annual growth in house prices</t>
  </si>
  <si>
    <t>Average house value in 2024 prices</t>
  </si>
  <si>
    <t>Attempted reconstruction of GDV calculation</t>
  </si>
  <si>
    <t>Dwellings and percentage counted as additional</t>
  </si>
  <si>
    <t>House prices</t>
  </si>
  <si>
    <t>Build costs</t>
  </si>
  <si>
    <t>Growth</t>
  </si>
  <si>
    <t>Years</t>
  </si>
  <si>
    <t>Nominal prices</t>
  </si>
  <si>
    <t>CPIH index</t>
  </si>
  <si>
    <t>GDP index</t>
  </si>
  <si>
    <t>CPIH-adjusted</t>
  </si>
  <si>
    <t>GDP-adjusted</t>
  </si>
  <si>
    <t>Annualised growth</t>
  </si>
  <si>
    <t>Discount rate</t>
  </si>
  <si>
    <t>Shortfall</t>
  </si>
  <si>
    <t>Market price adjustment factor</t>
  </si>
  <si>
    <t>GDV in 2010 prices and values</t>
  </si>
  <si>
    <t>Total build costs in 2010 prices and values</t>
  </si>
  <si>
    <t>Dwelling prices</t>
  </si>
  <si>
    <t>Average dwelling price in 2024</t>
  </si>
  <si>
    <t>Other costs and benefits (pro-rata to number of dwellings)</t>
  </si>
  <si>
    <t>Recalculation with lower house price growth</t>
  </si>
  <si>
    <t>Lower house price growth</t>
  </si>
  <si>
    <t>Bourn Airfield only with house prices adjusted &amp; nil future growth</t>
  </si>
  <si>
    <t>Nil house price growth</t>
  </si>
  <si>
    <t>Recalculation with nil house price growth</t>
  </si>
  <si>
    <t>Recalculation with Bourn Airfield, lower house prices and nil growth</t>
  </si>
  <si>
    <t>Value in 
2010 prices</t>
  </si>
  <si>
    <t>Value in 2010 market prices</t>
  </si>
  <si>
    <t>Bourn Airfield only and lower house price growth</t>
  </si>
  <si>
    <t>Recalculation with Bourn Airfield only and lower house price growth</t>
  </si>
  <si>
    <t>https://landregistry.data.gov.uk/app/ukhpi/browse?from=1988-01-01&amp;location=http%3A%2F%2Flandregistry.data.gov.uk%2Fid%2Fregion%2Fsouth-cambridgeshire&amp;to=2025-06-01&amp;lang=en</t>
  </si>
  <si>
    <t>CPIH</t>
  </si>
  <si>
    <t>https://www.ons.gov.uk/economy/inflationandpriceindices/timeseries/l55o/mm23</t>
  </si>
  <si>
    <t>Sources</t>
  </si>
  <si>
    <t>GDP deflator</t>
  </si>
  <si>
    <t>https://view.officeapps.live.com/op/view.aspx?src=https%3A%2F%2Fassets.publishing.service.gov.uk%2Fmedia%2F683835149c65cc8cdbae6501%2Ftag-data-book-v2.01.xlsm&amp;wdOrigin=BROWSELINK</t>
  </si>
  <si>
    <t>Economic Case Addendum Table 4-17 (reference)</t>
  </si>
  <si>
    <t>CtoC Scheme Adjusted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</si>
</sst>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&quot;£&quot;&quot;m&quot;* #,##0.00;&quot;£&quot;&quot;m&quot;* \-#,##0.00"/>
    <numFmt numFmtId="167" formatCode="0.0%"/>
    <numFmt numFmtId="168" formatCode="&quot;£&quot;#,##0"/>
    <numFmt numFmtId="169" formatCode="_-[$£-809]* #,##0_-;\-[$£-809]* #,##0_-;_-[$£-809]* &quot;-&quot;??_-;_-@_-"/>
    <numFmt numFmtId="172" formatCode="#,##0_ ;\-#,##0\ "/>
    <numFmt numFmtId="178" formatCode="&quot;£&quot;* #,##0;&quot;£&quot;* \-#,##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2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166" fontId="0" fillId="0" borderId="0" xfId="0" applyNumberFormat="1"/>
    <xf numFmtId="0" fontId="0" fillId="0" borderId="0" xfId="0" applyAlignment="1">
      <alignment horizontal="left"/>
    </xf>
    <xf numFmtId="9" fontId="0" fillId="0" borderId="0" xfId="2" applyFont="1"/>
    <xf numFmtId="166" fontId="2" fillId="0" borderId="0" xfId="0" applyNumberFormat="1" applyFont="1"/>
    <xf numFmtId="9" fontId="0" fillId="0" borderId="0" xfId="0" applyNumberFormat="1"/>
    <xf numFmtId="164" fontId="2" fillId="0" borderId="0" xfId="0" applyNumberFormat="1" applyFont="1"/>
    <xf numFmtId="167" fontId="0" fillId="0" borderId="0" xfId="2" applyNumberFormat="1" applyFont="1"/>
    <xf numFmtId="3" fontId="3" fillId="0" borderId="0" xfId="0" applyNumberFormat="1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168" fontId="0" fillId="0" borderId="0" xfId="0" applyNumberFormat="1"/>
    <xf numFmtId="169" fontId="3" fillId="0" borderId="0" xfId="0" applyNumberFormat="1" applyFont="1"/>
    <xf numFmtId="172" fontId="0" fillId="0" borderId="0" xfId="1" applyNumberFormat="1" applyFont="1"/>
    <xf numFmtId="165" fontId="2" fillId="0" borderId="0" xfId="1" applyNumberFormat="1" applyFont="1"/>
    <xf numFmtId="0" fontId="2" fillId="0" borderId="0" xfId="0" applyFont="1" applyAlignment="1">
      <alignment wrapText="1"/>
    </xf>
    <xf numFmtId="0" fontId="4" fillId="0" borderId="0" xfId="0" applyFont="1"/>
    <xf numFmtId="9" fontId="4" fillId="0" borderId="0" xfId="2" applyFont="1"/>
    <xf numFmtId="9" fontId="1" fillId="0" borderId="0" xfId="2" applyFont="1"/>
    <xf numFmtId="178" fontId="0" fillId="0" borderId="0" xfId="0" applyNumberFormat="1"/>
    <xf numFmtId="0" fontId="0" fillId="0" borderId="0" xfId="0" applyFont="1"/>
    <xf numFmtId="178" fontId="0" fillId="0" borderId="0" xfId="0" applyNumberFormat="1" applyFont="1"/>
    <xf numFmtId="10" fontId="0" fillId="0" borderId="0" xfId="0" applyNumberFormat="1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8" fontId="2" fillId="0" borderId="0" xfId="0" applyNumberFormat="1" applyFont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0" fillId="2" borderId="0" xfId="0" applyFill="1"/>
    <xf numFmtId="17" fontId="0" fillId="0" borderId="0" xfId="0" applyNumberFormat="1" applyAlignment="1">
      <alignment horizontal="left"/>
    </xf>
    <xf numFmtId="168" fontId="4" fillId="0" borderId="0" xfId="0" applyNumberFormat="1" applyFont="1"/>
    <xf numFmtId="167" fontId="0" fillId="0" borderId="0" xfId="0" applyNumberFormat="1"/>
    <xf numFmtId="178" fontId="0" fillId="2" borderId="0" xfId="0" applyNumberFormat="1" applyFill="1"/>
    <xf numFmtId="9" fontId="0" fillId="2" borderId="0" xfId="2" applyFont="1" applyFill="1"/>
    <xf numFmtId="0" fontId="2" fillId="2" borderId="0" xfId="0" applyFont="1" applyFill="1" applyAlignment="1">
      <alignment horizontal="center" wrapText="1"/>
    </xf>
    <xf numFmtId="9" fontId="0" fillId="2" borderId="0" xfId="0" applyNumberForma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5" fillId="0" borderId="0" xfId="3"/>
    <xf numFmtId="0" fontId="2" fillId="0" borderId="0" xfId="0" applyFont="1" applyAlignment="1">
      <alignment horizontal="left"/>
    </xf>
    <xf numFmtId="10" fontId="2" fillId="0" borderId="0" xfId="2" applyNumberFormat="1" applyFont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view.officeapps.live.com/op/view.aspx?src=https%3A%2F%2Fassets.publishing.service.gov.uk%2Fmedia%2F683835149c65cc8cdbae6501%2Ftag-data-book-v2.01.xlsm&amp;wdOrigin=BROWSELINK" TargetMode="External"/><Relationship Id="rId2" Type="http://schemas.openxmlformats.org/officeDocument/2006/relationships/hyperlink" Target="https://www.ons.gov.uk/economy/inflationandpriceindices/timeseries/l55o/mm23" TargetMode="External"/><Relationship Id="rId1" Type="http://schemas.openxmlformats.org/officeDocument/2006/relationships/hyperlink" Target="https://landregistry.data.gov.uk/app/ukhpi/browse?from=1988-01-01&amp;location=http%3A%2F%2Flandregistry.data.gov.uk%2Fid%2Fregion%2Fsouth-cambridgeshire&amp;to=2025-06-01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C20B-1422-4854-B1D7-E18EB782B94F}">
  <dimension ref="A1:J33"/>
  <sheetViews>
    <sheetView tabSelected="1" workbookViewId="0">
      <selection activeCell="A19" sqref="A19"/>
    </sheetView>
  </sheetViews>
  <sheetFormatPr defaultRowHeight="14.4" x14ac:dyDescent="0.3"/>
  <cols>
    <col min="1" max="1" width="57.88671875" bestFit="1" customWidth="1"/>
    <col min="2" max="2" width="9.88671875" customWidth="1"/>
    <col min="3" max="3" width="14.77734375" customWidth="1"/>
    <col min="4" max="4" width="12.44140625" customWidth="1"/>
    <col min="5" max="6" width="14.88671875" customWidth="1"/>
    <col min="7" max="7" width="15.88671875" customWidth="1"/>
    <col min="8" max="8" width="14.88671875" customWidth="1"/>
    <col min="9" max="9" width="16" customWidth="1"/>
    <col min="10" max="10" width="17.88671875" style="2" customWidth="1"/>
  </cols>
  <sheetData>
    <row r="1" spans="1:10" s="12" customFormat="1" ht="57.6" x14ac:dyDescent="0.3">
      <c r="B1" s="18" t="s">
        <v>19</v>
      </c>
      <c r="C1" s="13" t="s">
        <v>63</v>
      </c>
      <c r="D1" s="13" t="s">
        <v>2</v>
      </c>
      <c r="E1" s="13" t="s">
        <v>24</v>
      </c>
      <c r="F1" s="13" t="s">
        <v>48</v>
      </c>
      <c r="G1" s="13" t="s">
        <v>55</v>
      </c>
      <c r="H1" s="13" t="s">
        <v>50</v>
      </c>
      <c r="I1" s="13" t="s">
        <v>20</v>
      </c>
      <c r="J1" s="13" t="s">
        <v>49</v>
      </c>
    </row>
    <row r="2" spans="1:10" s="12" customFormat="1" x14ac:dyDescent="0.3">
      <c r="A2" s="39" t="s">
        <v>28</v>
      </c>
      <c r="B2" s="29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t="s">
        <v>12</v>
      </c>
      <c r="B3" s="16">
        <v>2350</v>
      </c>
      <c r="C3" s="6">
        <v>0.28000000000000003</v>
      </c>
      <c r="D3" s="6">
        <v>0</v>
      </c>
      <c r="E3" s="6">
        <v>0.28000000000000003</v>
      </c>
      <c r="F3" s="6">
        <v>0.28000000000000003</v>
      </c>
      <c r="G3" s="6">
        <v>0</v>
      </c>
      <c r="H3" s="6">
        <v>0.28000000000000003</v>
      </c>
      <c r="I3" s="6">
        <v>0</v>
      </c>
      <c r="J3" s="21">
        <v>0</v>
      </c>
    </row>
    <row r="4" spans="1:10" x14ac:dyDescent="0.3">
      <c r="A4" t="s">
        <v>11</v>
      </c>
      <c r="B4" s="16">
        <v>3500</v>
      </c>
      <c r="C4" s="6">
        <v>0.69</v>
      </c>
      <c r="D4" s="6">
        <v>0.69</v>
      </c>
      <c r="E4" s="6">
        <v>0.69</v>
      </c>
      <c r="F4" s="6">
        <v>0.69</v>
      </c>
      <c r="G4" s="6">
        <v>0.69</v>
      </c>
      <c r="H4" s="6">
        <v>0.69</v>
      </c>
      <c r="I4" s="6">
        <v>0.69</v>
      </c>
      <c r="J4" s="21">
        <v>0.69</v>
      </c>
    </row>
    <row r="5" spans="1:10" s="2" customFormat="1" x14ac:dyDescent="0.3">
      <c r="A5" s="2" t="s">
        <v>18</v>
      </c>
      <c r="C5" s="17" cm="1">
        <f t="array" ref="C5">SUM($B3:$B4*C3:C4)</f>
        <v>3073</v>
      </c>
      <c r="D5" s="17" cm="1">
        <f t="array" ref="D5">SUM($B3:$B4*D3:D4)</f>
        <v>2415</v>
      </c>
      <c r="E5" s="17" cm="1">
        <f t="array" ref="E5">SUM($B3:$B4*E3:E4)</f>
        <v>3073</v>
      </c>
      <c r="F5" s="17" cm="1">
        <f t="array" ref="F5">SUM($B3:$B4*F3:F4)</f>
        <v>3073</v>
      </c>
      <c r="G5" s="17" cm="1">
        <f t="array" ref="G5">SUM($B3:$B4*G3:G4)</f>
        <v>2415</v>
      </c>
      <c r="H5" s="17" cm="1">
        <f t="array" ref="H5">SUM($B3:$B4*H3:H4)</f>
        <v>3073</v>
      </c>
      <c r="I5" s="17" cm="1">
        <f t="array" ref="I5">SUM($B3:$B4*I3:I4)</f>
        <v>2415</v>
      </c>
      <c r="J5" s="17" cm="1">
        <f t="array" ref="J5">SUM($B3:$B4*J3:J4)</f>
        <v>2415</v>
      </c>
    </row>
    <row r="6" spans="1:10" s="19" customFormat="1" x14ac:dyDescent="0.3">
      <c r="A6" s="19" t="s">
        <v>3</v>
      </c>
      <c r="D6" s="20">
        <f>D5/$C$5 - 1</f>
        <v>-0.21412300683371299</v>
      </c>
      <c r="E6" s="20">
        <f>E5/$C$5 - 1</f>
        <v>0</v>
      </c>
      <c r="F6" s="20">
        <f>F5/$C$5 - 1</f>
        <v>0</v>
      </c>
      <c r="G6" s="20">
        <f>G5/$C$5 - 1</f>
        <v>-0.21412300683371299</v>
      </c>
      <c r="H6" s="20">
        <f>H5/$C$5 - 1</f>
        <v>0</v>
      </c>
      <c r="I6" s="20">
        <f>I5/$C$5 - 1</f>
        <v>-0.21412300683371299</v>
      </c>
      <c r="J6" s="20">
        <f>J5/$C$5 - 1</f>
        <v>-0.21412300683371299</v>
      </c>
    </row>
    <row r="7" spans="1:10" x14ac:dyDescent="0.3">
      <c r="D7" s="6"/>
      <c r="J7"/>
    </row>
    <row r="8" spans="1:10" x14ac:dyDescent="0.3">
      <c r="A8" s="40" t="s">
        <v>44</v>
      </c>
      <c r="B8" s="31"/>
      <c r="C8" s="31"/>
      <c r="D8" s="36"/>
      <c r="E8" s="31"/>
      <c r="F8" s="31"/>
      <c r="G8" s="31"/>
      <c r="H8" s="31"/>
      <c r="I8" s="31"/>
      <c r="J8" s="31"/>
    </row>
    <row r="9" spans="1:10" x14ac:dyDescent="0.3">
      <c r="A9" s="11" t="s">
        <v>45</v>
      </c>
      <c r="B9" s="11"/>
      <c r="C9" s="15">
        <v>506051</v>
      </c>
      <c r="D9" s="15">
        <v>506051</v>
      </c>
      <c r="E9" s="15">
        <v>423245</v>
      </c>
      <c r="F9" s="15">
        <v>506051</v>
      </c>
      <c r="G9" s="15">
        <v>506051</v>
      </c>
      <c r="H9" s="15">
        <v>506051</v>
      </c>
      <c r="I9" s="15">
        <v>423245</v>
      </c>
      <c r="J9" s="15">
        <v>423245</v>
      </c>
    </row>
    <row r="10" spans="1:10" s="19" customFormat="1" x14ac:dyDescent="0.3">
      <c r="A10" s="19" t="s">
        <v>4</v>
      </c>
      <c r="D10" s="20">
        <f>D9/$C$9 - 1</f>
        <v>0</v>
      </c>
      <c r="E10" s="20">
        <f t="shared" ref="E10:F10" si="0">E9/$C$9 - 1</f>
        <v>-0.16363172881784638</v>
      </c>
      <c r="F10" s="20">
        <f t="shared" si="0"/>
        <v>0</v>
      </c>
      <c r="G10" s="20">
        <f t="shared" ref="G10" si="1">G9/$C$9 - 1</f>
        <v>0</v>
      </c>
      <c r="H10" s="20">
        <f t="shared" ref="H10" si="2">H9/$C$9 - 1</f>
        <v>0</v>
      </c>
      <c r="I10" s="20">
        <f t="shared" ref="I10" si="3">I9/$C$9 - 1</f>
        <v>-0.16363172881784638</v>
      </c>
      <c r="J10" s="20">
        <f>J9/$C$9 - 1</f>
        <v>-0.16363172881784638</v>
      </c>
    </row>
    <row r="11" spans="1:10" s="19" customFormat="1" x14ac:dyDescent="0.3">
      <c r="D11" s="20"/>
      <c r="E11" s="20"/>
      <c r="F11" s="20"/>
      <c r="G11" s="20"/>
      <c r="H11" s="20"/>
      <c r="I11" s="20"/>
      <c r="J11" s="20"/>
    </row>
    <row r="12" spans="1:10" s="23" customFormat="1" x14ac:dyDescent="0.3">
      <c r="A12" s="23" t="s">
        <v>25</v>
      </c>
      <c r="C12" s="25">
        <v>2.1999999999999999E-2</v>
      </c>
      <c r="D12" s="25">
        <v>2.1999999999999999E-2</v>
      </c>
      <c r="E12" s="25">
        <v>2.1999999999999999E-2</v>
      </c>
      <c r="F12" s="25">
        <v>8.5000000000000006E-3</v>
      </c>
      <c r="G12" s="25">
        <v>8.5000000000000006E-3</v>
      </c>
      <c r="H12" s="25">
        <v>0</v>
      </c>
      <c r="I12" s="25">
        <v>2.1999999999999999E-2</v>
      </c>
      <c r="J12" s="25">
        <v>0</v>
      </c>
    </row>
    <row r="13" spans="1:10" x14ac:dyDescent="0.3">
      <c r="D13" s="6"/>
      <c r="E13" s="8"/>
      <c r="F13" s="8"/>
      <c r="G13" s="8"/>
      <c r="H13" s="8"/>
      <c r="I13" s="8"/>
    </row>
    <row r="14" spans="1:10" x14ac:dyDescent="0.3">
      <c r="A14" s="40" t="s">
        <v>0</v>
      </c>
      <c r="B14" s="31"/>
      <c r="C14" s="31"/>
      <c r="D14" s="36"/>
      <c r="E14" s="38"/>
      <c r="F14" s="38"/>
      <c r="G14" s="38"/>
      <c r="H14" s="38"/>
      <c r="I14" s="38"/>
      <c r="J14" s="30"/>
    </row>
    <row r="15" spans="1:10" s="2" customFormat="1" x14ac:dyDescent="0.3">
      <c r="A15" s="2" t="s">
        <v>42</v>
      </c>
      <c r="C15" s="7">
        <v>672.07</v>
      </c>
      <c r="D15" s="7">
        <f>$C15*(1+D$6) * (1+D$10)</f>
        <v>528.16435079726659</v>
      </c>
      <c r="E15" s="7">
        <f>$C15*(1+E$6) * (1+E$10)</f>
        <v>562.09802401339005</v>
      </c>
      <c r="F15" s="7">
        <f>GDV!N30 / 1000000</f>
        <v>566.67821783726617</v>
      </c>
      <c r="G15" s="7">
        <f>GDV!T30 / 1000000</f>
        <v>430.98350510300941</v>
      </c>
      <c r="H15" s="7">
        <f>GDV!Z30 / 1000000</f>
        <v>509.22345275880059</v>
      </c>
      <c r="I15" s="7">
        <f t="shared" ref="I15" si="4">$C15*(1+I$6) * (1+I$10)</f>
        <v>441.73990497635435</v>
      </c>
      <c r="J15" s="7">
        <f>GDV!AF30 / 1000000</f>
        <v>320.43856028981463</v>
      </c>
    </row>
    <row r="16" spans="1:10" s="23" customFormat="1" x14ac:dyDescent="0.3">
      <c r="A16" s="23" t="s">
        <v>23</v>
      </c>
      <c r="C16" s="24">
        <f>1000000 * C15/C5</f>
        <v>218701.59453302962</v>
      </c>
      <c r="D16" s="24">
        <f>1000000 * D15/D5</f>
        <v>218701.59453302965</v>
      </c>
      <c r="E16" s="24">
        <f>1000000 * E15/E5</f>
        <v>182915.07452437034</v>
      </c>
      <c r="F16" s="24">
        <f>1000000 * F15/F5</f>
        <v>184405.53785788032</v>
      </c>
      <c r="G16" s="24">
        <f>1000000 * G15/G5</f>
        <v>178461.07871760224</v>
      </c>
      <c r="H16" s="24">
        <f>1000000 * H15/H5</f>
        <v>165708.90099537928</v>
      </c>
      <c r="I16" s="24">
        <f>1000000 * I15/I5</f>
        <v>182915.07452437034</v>
      </c>
      <c r="J16" s="24">
        <f>1000000 * J15/J5</f>
        <v>132686.77444712821</v>
      </c>
    </row>
    <row r="17" spans="1:10" x14ac:dyDescent="0.3">
      <c r="C17" s="22"/>
      <c r="D17" s="22"/>
      <c r="E17" s="22"/>
      <c r="F17" s="22"/>
      <c r="G17" s="22"/>
      <c r="H17" s="22"/>
      <c r="I17" s="22"/>
      <c r="J17" s="22"/>
    </row>
    <row r="18" spans="1:10" x14ac:dyDescent="0.3">
      <c r="A18" s="40" t="s">
        <v>30</v>
      </c>
      <c r="B18" s="31"/>
      <c r="C18" s="35"/>
      <c r="D18" s="35"/>
      <c r="E18" s="35"/>
      <c r="F18" s="35"/>
      <c r="G18" s="35"/>
      <c r="H18" s="35"/>
      <c r="I18" s="35"/>
      <c r="J18" s="35"/>
    </row>
    <row r="19" spans="1:10" x14ac:dyDescent="0.3">
      <c r="A19" t="s">
        <v>21</v>
      </c>
      <c r="B19" s="8">
        <v>0.31</v>
      </c>
      <c r="C19" s="6"/>
      <c r="D19" s="22">
        <f>$C20 * $B$19 * (D16-$C16)/$C16</f>
        <v>-5.9050241640470048E-12</v>
      </c>
      <c r="E19" s="22">
        <f>$C20 * $B$19 * (E16-$C16)/$C16</f>
        <v>7260.909030941385</v>
      </c>
      <c r="F19" s="22">
        <f>$C20 * $B$19 * (F16-$C16)/$C16</f>
        <v>6958.5013457026153</v>
      </c>
      <c r="G19" s="22">
        <f>$C20 * $B$19 * (G16-$C16)/$C16</f>
        <v>8164.6028902300841</v>
      </c>
      <c r="H19" s="22">
        <f>$C20 * $B$19 * (H16-$C16)/$C16</f>
        <v>10751.957077366851</v>
      </c>
      <c r="I19" s="22">
        <f>$C20 * $B$19 * (I16-$C16)/$C16</f>
        <v>7260.909030941385</v>
      </c>
      <c r="J19" s="22">
        <f>$C20 * $B$19 * (J16-$C16)/$C16</f>
        <v>17451.984261263697</v>
      </c>
    </row>
    <row r="20" spans="1:10" x14ac:dyDescent="0.3">
      <c r="A20" t="s">
        <v>22</v>
      </c>
      <c r="C20" s="22">
        <f>1000000 * C21/C5</f>
        <v>-143140.25382362513</v>
      </c>
      <c r="D20" s="22">
        <f>$C20+D19</f>
        <v>-143140.25382362513</v>
      </c>
      <c r="E20" s="22">
        <f t="shared" ref="E20:J20" si="5">$C20+E19</f>
        <v>-135879.34479268375</v>
      </c>
      <c r="F20" s="22">
        <f t="shared" si="5"/>
        <v>-136181.75247792251</v>
      </c>
      <c r="G20" s="22">
        <f t="shared" si="5"/>
        <v>-134975.65093339505</v>
      </c>
      <c r="H20" s="22">
        <f t="shared" si="5"/>
        <v>-132388.29674625827</v>
      </c>
      <c r="I20" s="22">
        <f t="shared" si="5"/>
        <v>-135879.34479268375</v>
      </c>
      <c r="J20" s="22">
        <f t="shared" si="5"/>
        <v>-125688.26956236143</v>
      </c>
    </row>
    <row r="21" spans="1:10" x14ac:dyDescent="0.3">
      <c r="A21" s="2" t="s">
        <v>43</v>
      </c>
      <c r="B21" s="2"/>
      <c r="C21" s="7">
        <v>-439.87</v>
      </c>
      <c r="D21" s="7">
        <f>D20*D5/1000000</f>
        <v>-345.68371298405469</v>
      </c>
      <c r="E21" s="7">
        <f>E20*E5/1000000</f>
        <v>-417.5572265479172</v>
      </c>
      <c r="F21" s="7">
        <f>F20*F5/1000000</f>
        <v>-418.48652536465585</v>
      </c>
      <c r="G21" s="7">
        <f>G20*G5/1000000</f>
        <v>-325.96619700414908</v>
      </c>
      <c r="H21" s="7">
        <f>H20*H5/1000000</f>
        <v>-406.82923590125165</v>
      </c>
      <c r="I21" s="7">
        <f>I20*I5/1000000</f>
        <v>-328.14861767433126</v>
      </c>
      <c r="J21" s="7">
        <f>J20*J5/1000000</f>
        <v>-303.53717099310285</v>
      </c>
    </row>
    <row r="22" spans="1:10" x14ac:dyDescent="0.3">
      <c r="A22" s="2"/>
      <c r="B22" s="2"/>
      <c r="C22" s="7"/>
      <c r="D22" s="7"/>
      <c r="E22" s="7"/>
      <c r="F22" s="7"/>
      <c r="G22" s="7"/>
      <c r="H22" s="7"/>
      <c r="I22" s="7"/>
      <c r="J22" s="7"/>
    </row>
    <row r="23" spans="1:10" x14ac:dyDescent="0.3">
      <c r="A23" s="2" t="s">
        <v>46</v>
      </c>
      <c r="B23" s="2"/>
      <c r="C23" s="7">
        <v>-48.02</v>
      </c>
      <c r="D23" s="7">
        <f>$C23*(1+D$6)</f>
        <v>-37.737813211845108</v>
      </c>
      <c r="E23" s="7">
        <f t="shared" ref="E23:J23" si="6">$C23*(1+E$6)</f>
        <v>-48.02</v>
      </c>
      <c r="F23" s="7">
        <f t="shared" si="6"/>
        <v>-48.02</v>
      </c>
      <c r="G23" s="7">
        <f t="shared" si="6"/>
        <v>-37.737813211845108</v>
      </c>
      <c r="H23" s="7">
        <f t="shared" si="6"/>
        <v>-48.02</v>
      </c>
      <c r="I23" s="7">
        <f t="shared" si="6"/>
        <v>-37.737813211845108</v>
      </c>
      <c r="J23" s="7">
        <f t="shared" si="6"/>
        <v>-37.737813211845108</v>
      </c>
    </row>
    <row r="24" spans="1:10" x14ac:dyDescent="0.3">
      <c r="B24" s="8"/>
      <c r="C24" s="6"/>
      <c r="D24" s="4"/>
      <c r="E24" s="4"/>
      <c r="F24" s="4"/>
      <c r="G24" s="4"/>
      <c r="H24" s="4"/>
      <c r="I24" s="4"/>
      <c r="J24" s="4"/>
    </row>
    <row r="25" spans="1:10" s="2" customFormat="1" x14ac:dyDescent="0.3">
      <c r="A25" s="2" t="s">
        <v>14</v>
      </c>
      <c r="C25" s="7">
        <f>C15+C21+C23</f>
        <v>184.18000000000004</v>
      </c>
      <c r="D25" s="7">
        <f t="shared" ref="D25:J25" si="7">D15+D21+D23</f>
        <v>144.74282460136681</v>
      </c>
      <c r="E25" s="7">
        <f t="shared" si="7"/>
        <v>96.520797465472839</v>
      </c>
      <c r="F25" s="7">
        <f t="shared" si="7"/>
        <v>100.17169247261032</v>
      </c>
      <c r="G25" s="7">
        <f t="shared" ref="G25" si="8">G15+G21+G23</f>
        <v>67.279494887015218</v>
      </c>
      <c r="H25" s="7">
        <f t="shared" ref="H25" si="9">H15+H21+H23</f>
        <v>54.374216857548937</v>
      </c>
      <c r="I25" s="7">
        <f t="shared" si="7"/>
        <v>75.853474090177983</v>
      </c>
      <c r="J25" s="7">
        <f t="shared" si="7"/>
        <v>-20.836423915133324</v>
      </c>
    </row>
    <row r="26" spans="1:10" x14ac:dyDescent="0.3"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t="s">
        <v>64</v>
      </c>
      <c r="C27" s="4">
        <v>67.67</v>
      </c>
      <c r="D27" s="4">
        <v>67.67</v>
      </c>
      <c r="E27" s="4">
        <v>67.67</v>
      </c>
      <c r="F27" s="4">
        <v>67.67</v>
      </c>
      <c r="G27" s="4">
        <v>67.67</v>
      </c>
      <c r="H27" s="4">
        <v>67.67</v>
      </c>
      <c r="I27" s="4">
        <v>67.67</v>
      </c>
      <c r="J27" s="4">
        <v>67.67</v>
      </c>
    </row>
    <row r="28" spans="1:10" s="2" customFormat="1" x14ac:dyDescent="0.3">
      <c r="A28" s="2" t="s">
        <v>1</v>
      </c>
      <c r="C28" s="7">
        <f>C25+C27</f>
        <v>251.85000000000002</v>
      </c>
      <c r="D28" s="7">
        <f t="shared" ref="D28:I28" si="10">D25+D27</f>
        <v>212.41282460136682</v>
      </c>
      <c r="E28" s="7">
        <f t="shared" ref="E28:F28" si="11">E25+E27</f>
        <v>164.19079746547283</v>
      </c>
      <c r="F28" s="7">
        <f t="shared" si="11"/>
        <v>167.8416924726103</v>
      </c>
      <c r="G28" s="7">
        <f t="shared" ref="G28" si="12">G25+G27</f>
        <v>134.94949488701522</v>
      </c>
      <c r="H28" s="7">
        <f t="shared" ref="H28" si="13">H25+H27</f>
        <v>122.04421685754895</v>
      </c>
      <c r="I28" s="7">
        <f t="shared" si="10"/>
        <v>143.52347409017798</v>
      </c>
      <c r="J28" s="7">
        <f>J25+J27</f>
        <v>46.833576084866678</v>
      </c>
    </row>
    <row r="29" spans="1:10" s="2" customFormat="1" x14ac:dyDescent="0.3">
      <c r="C29" s="7"/>
      <c r="D29" s="7"/>
      <c r="E29" s="7"/>
      <c r="F29" s="7"/>
      <c r="G29" s="7"/>
      <c r="H29" s="7"/>
      <c r="I29" s="7"/>
      <c r="J29" s="7"/>
    </row>
    <row r="30" spans="1:10" x14ac:dyDescent="0.3">
      <c r="A30" t="s">
        <v>15</v>
      </c>
      <c r="C30" s="4">
        <v>-137.96</v>
      </c>
      <c r="D30" s="4">
        <v>-137.96</v>
      </c>
      <c r="E30" s="4">
        <v>-137.96</v>
      </c>
      <c r="F30" s="4">
        <v>-137.96</v>
      </c>
      <c r="G30" s="4">
        <v>-137.96</v>
      </c>
      <c r="H30" s="4">
        <v>-137.96</v>
      </c>
      <c r="I30" s="4">
        <v>-137.96</v>
      </c>
      <c r="J30" s="4">
        <v>-137.96</v>
      </c>
    </row>
    <row r="31" spans="1:10" x14ac:dyDescent="0.3">
      <c r="C31" s="4"/>
      <c r="D31" s="4"/>
      <c r="E31" s="4"/>
      <c r="F31" s="4"/>
      <c r="G31" s="4"/>
      <c r="H31" s="4"/>
      <c r="I31" s="4"/>
      <c r="J31" s="4"/>
    </row>
    <row r="32" spans="1:10" x14ac:dyDescent="0.3">
      <c r="A32" s="2" t="s">
        <v>17</v>
      </c>
      <c r="B32" s="2"/>
      <c r="C32" s="7">
        <f>C28+C30</f>
        <v>113.89000000000001</v>
      </c>
      <c r="D32" s="7">
        <f t="shared" ref="D32:I32" si="14">D28+D30</f>
        <v>74.452824601366814</v>
      </c>
      <c r="E32" s="7">
        <f t="shared" ref="E32:F32" si="15">E28+E30</f>
        <v>26.230797465472818</v>
      </c>
      <c r="F32" s="7">
        <f t="shared" si="15"/>
        <v>29.881692472610297</v>
      </c>
      <c r="G32" s="7">
        <f t="shared" ref="G32" si="16">G28+G30</f>
        <v>-3.010505112984788</v>
      </c>
      <c r="H32" s="7">
        <f t="shared" ref="H32" si="17">H28+H30</f>
        <v>-15.915783142451062</v>
      </c>
      <c r="I32" s="7">
        <f t="shared" si="14"/>
        <v>5.5634740901779764</v>
      </c>
      <c r="J32" s="7">
        <f>J28+J30</f>
        <v>-91.12642391513333</v>
      </c>
    </row>
    <row r="33" spans="1:10" s="2" customFormat="1" x14ac:dyDescent="0.3">
      <c r="A33" s="2" t="s">
        <v>16</v>
      </c>
      <c r="C33" s="9">
        <f>C28/-C30</f>
        <v>1.825529138880835</v>
      </c>
      <c r="D33" s="9">
        <f t="shared" ref="D33:I33" si="18">D28/-D30</f>
        <v>1.5396696477338851</v>
      </c>
      <c r="E33" s="9">
        <f t="shared" ref="E33:F33" si="19">E28/-E30</f>
        <v>1.1901333536204177</v>
      </c>
      <c r="F33" s="9">
        <f t="shared" si="19"/>
        <v>1.2165967851015533</v>
      </c>
      <c r="G33" s="9">
        <f t="shared" ref="G33" si="20">G28/-G30</f>
        <v>0.9781784204625632</v>
      </c>
      <c r="H33" s="9">
        <f t="shared" ref="H33" si="21">H28/-H30</f>
        <v>0.88463479890945884</v>
      </c>
      <c r="I33" s="9">
        <f t="shared" si="18"/>
        <v>1.0403267185428964</v>
      </c>
      <c r="J33" s="9">
        <f>J28/-J30</f>
        <v>0.33947213746641547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1794-4D02-4921-A952-6E1E809F59E8}">
  <dimension ref="A1:AI32"/>
  <sheetViews>
    <sheetView workbookViewId="0">
      <selection activeCell="E3" sqref="E3"/>
    </sheetView>
  </sheetViews>
  <sheetFormatPr defaultRowHeight="14.4" x14ac:dyDescent="0.3"/>
  <cols>
    <col min="1" max="1" width="14.5546875" bestFit="1" customWidth="1"/>
    <col min="2" max="2" width="11" customWidth="1"/>
    <col min="3" max="3" width="9.109375" customWidth="1"/>
    <col min="4" max="4" width="13" customWidth="1"/>
    <col min="5" max="5" width="13.88671875" customWidth="1"/>
    <col min="6" max="6" width="11.6640625" customWidth="1"/>
    <col min="7" max="7" width="12" customWidth="1"/>
    <col min="8" max="8" width="13.21875" customWidth="1"/>
    <col min="9" max="9" width="2.77734375" customWidth="1"/>
    <col min="10" max="10" width="12.77734375" customWidth="1"/>
    <col min="11" max="11" width="12.6640625" customWidth="1"/>
    <col min="12" max="12" width="11.44140625" customWidth="1"/>
    <col min="13" max="13" width="12.21875" customWidth="1"/>
    <col min="14" max="14" width="13.88671875" customWidth="1"/>
    <col min="15" max="15" width="2.77734375" customWidth="1"/>
    <col min="16" max="16" width="12.77734375" customWidth="1"/>
    <col min="17" max="17" width="12.6640625" customWidth="1"/>
    <col min="18" max="18" width="11.44140625" customWidth="1"/>
    <col min="19" max="19" width="12.21875" customWidth="1"/>
    <col min="20" max="20" width="13.88671875" customWidth="1"/>
    <col min="21" max="21" width="3.88671875" customWidth="1"/>
    <col min="22" max="22" width="12.77734375" customWidth="1"/>
    <col min="23" max="23" width="12.6640625" customWidth="1"/>
    <col min="24" max="24" width="11.44140625" customWidth="1"/>
    <col min="25" max="25" width="12.21875" customWidth="1"/>
    <col min="26" max="26" width="13.88671875" customWidth="1"/>
    <col min="27" max="27" width="3.5546875" customWidth="1"/>
    <col min="28" max="28" width="12.77734375" customWidth="1"/>
    <col min="29" max="29" width="12.6640625" customWidth="1"/>
    <col min="30" max="30" width="11.44140625" customWidth="1"/>
    <col min="31" max="31" width="12.21875" customWidth="1"/>
    <col min="32" max="32" width="13.88671875" customWidth="1"/>
    <col min="35" max="37" width="10.21875" customWidth="1"/>
  </cols>
  <sheetData>
    <row r="1" spans="1:35" x14ac:dyDescent="0.3">
      <c r="B1" s="26" t="s">
        <v>27</v>
      </c>
      <c r="C1" s="26"/>
      <c r="D1" s="26"/>
      <c r="E1" s="26"/>
      <c r="F1" s="26"/>
      <c r="G1" s="26"/>
      <c r="H1" s="26"/>
      <c r="J1" s="27" t="s">
        <v>47</v>
      </c>
      <c r="K1" s="27"/>
      <c r="L1" s="27"/>
      <c r="M1" s="27"/>
      <c r="N1" s="27"/>
      <c r="P1" s="27" t="s">
        <v>56</v>
      </c>
      <c r="Q1" s="27"/>
      <c r="R1" s="27"/>
      <c r="S1" s="27"/>
      <c r="T1" s="27"/>
      <c r="V1" s="27" t="s">
        <v>51</v>
      </c>
      <c r="W1" s="27"/>
      <c r="X1" s="27"/>
      <c r="Y1" s="27"/>
      <c r="Z1" s="27"/>
      <c r="AB1" s="27" t="s">
        <v>52</v>
      </c>
      <c r="AC1" s="27"/>
      <c r="AD1" s="27"/>
      <c r="AE1" s="27"/>
      <c r="AF1" s="27"/>
    </row>
    <row r="2" spans="1:35" s="13" customFormat="1" ht="43.2" x14ac:dyDescent="0.3">
      <c r="A2" s="13" t="s">
        <v>7</v>
      </c>
      <c r="B2" s="13" t="s">
        <v>12</v>
      </c>
      <c r="C2" s="13" t="s">
        <v>11</v>
      </c>
      <c r="D2" s="13" t="s">
        <v>26</v>
      </c>
      <c r="E2" s="13" t="s">
        <v>53</v>
      </c>
      <c r="F2" s="13" t="s">
        <v>54</v>
      </c>
      <c r="G2" s="13" t="s">
        <v>8</v>
      </c>
      <c r="H2" s="13" t="s">
        <v>0</v>
      </c>
      <c r="J2" s="13" t="s">
        <v>26</v>
      </c>
      <c r="K2" s="13" t="s">
        <v>53</v>
      </c>
      <c r="L2" s="13" t="s">
        <v>54</v>
      </c>
      <c r="M2" s="13" t="s">
        <v>8</v>
      </c>
      <c r="N2" s="13" t="s">
        <v>0</v>
      </c>
      <c r="P2" s="13" t="s">
        <v>26</v>
      </c>
      <c r="Q2" s="13" t="s">
        <v>53</v>
      </c>
      <c r="R2" s="13" t="s">
        <v>54</v>
      </c>
      <c r="S2" s="13" t="s">
        <v>8</v>
      </c>
      <c r="T2" s="13" t="s">
        <v>0</v>
      </c>
      <c r="V2" s="13" t="s">
        <v>26</v>
      </c>
      <c r="W2" s="13" t="s">
        <v>53</v>
      </c>
      <c r="X2" s="13" t="s">
        <v>54</v>
      </c>
      <c r="Y2" s="13" t="s">
        <v>8</v>
      </c>
      <c r="Z2" s="13" t="s">
        <v>0</v>
      </c>
      <c r="AB2" s="13" t="s">
        <v>26</v>
      </c>
      <c r="AC2" s="13" t="s">
        <v>53</v>
      </c>
      <c r="AD2" s="13" t="s">
        <v>54</v>
      </c>
      <c r="AE2" s="13" t="s">
        <v>8</v>
      </c>
      <c r="AF2" s="13" t="s">
        <v>0</v>
      </c>
      <c r="AH2" s="13" t="s">
        <v>39</v>
      </c>
      <c r="AI2" s="13" t="s">
        <v>9</v>
      </c>
    </row>
    <row r="3" spans="1:35" x14ac:dyDescent="0.3">
      <c r="A3">
        <v>2024</v>
      </c>
      <c r="D3" s="14">
        <f>Summary!C9</f>
        <v>506051</v>
      </c>
      <c r="E3" s="14">
        <f>D3*Constants!$B$1/Constants!$B$2</f>
        <v>351516.35814714938</v>
      </c>
      <c r="F3" s="14">
        <f>E3*(1+Constants!$B$3)</f>
        <v>418304.46619510773</v>
      </c>
      <c r="G3" s="14">
        <f>F3*$AI3</f>
        <v>258420.88200674171</v>
      </c>
      <c r="H3" s="14">
        <f>($B3 + $C3) *G3</f>
        <v>0</v>
      </c>
      <c r="J3" s="14">
        <f>Summary!F9</f>
        <v>506051</v>
      </c>
      <c r="K3" s="14">
        <f>J3*Constants!$B$1/Constants!$B$2</f>
        <v>351516.35814714938</v>
      </c>
      <c r="L3" s="14">
        <f>K3*(1+Constants!$B$3)</f>
        <v>418304.46619510773</v>
      </c>
      <c r="M3" s="14">
        <f>L3*$AI3</f>
        <v>258420.88200674171</v>
      </c>
      <c r="N3" s="14">
        <f>($B3 + $C3) *M3</f>
        <v>0</v>
      </c>
      <c r="P3" s="14">
        <f>Summary!G9</f>
        <v>506051</v>
      </c>
      <c r="Q3" s="14">
        <f>P3*Constants!$B$1/Constants!$B$2</f>
        <v>351516.35814714938</v>
      </c>
      <c r="R3" s="14">
        <f>Q3*(1+Constants!$B$3)</f>
        <v>418304.46619510773</v>
      </c>
      <c r="S3" s="14">
        <f>R3*$AI3</f>
        <v>258420.88200674171</v>
      </c>
      <c r="T3" s="14">
        <f>$C3 *S3</f>
        <v>0</v>
      </c>
      <c r="V3" s="14">
        <f>Summary!H9</f>
        <v>506051</v>
      </c>
      <c r="W3" s="14">
        <f>V3*Constants!$B$1/Constants!$B$2</f>
        <v>351516.35814714938</v>
      </c>
      <c r="X3" s="14">
        <f>W3*(1+Constants!$B$3)</f>
        <v>418304.46619510773</v>
      </c>
      <c r="Y3" s="14">
        <f>X3*$AI3</f>
        <v>258420.88200674171</v>
      </c>
      <c r="Z3" s="14">
        <f>($B3 + $C3) *Y3</f>
        <v>0</v>
      </c>
      <c r="AB3" s="14">
        <f>Summary!J9</f>
        <v>423245</v>
      </c>
      <c r="AC3" s="14">
        <f>AB3*Constants!$B$1/Constants!$B$2</f>
        <v>293997.12875577807</v>
      </c>
      <c r="AD3" s="14">
        <f>AC3*(1+Constants!$B$3)</f>
        <v>349856.58321937587</v>
      </c>
      <c r="AE3" s="14">
        <f>AD3*$AI3</f>
        <v>216135.02632134585</v>
      </c>
      <c r="AF3" s="14">
        <f>$C3 *AE3</f>
        <v>0</v>
      </c>
      <c r="AH3" s="10">
        <f>IF(A3&gt;2054,0.03,0.035)</f>
        <v>3.5000000000000003E-2</v>
      </c>
      <c r="AI3" s="1">
        <f>1/1.035^(A3-2010)</f>
        <v>0.61778179027667302</v>
      </c>
    </row>
    <row r="4" spans="1:35" x14ac:dyDescent="0.3">
      <c r="A4">
        <v>2025</v>
      </c>
      <c r="D4" s="14">
        <f>D3*(1+Summary!$C$12)</f>
        <v>517184.12200000003</v>
      </c>
      <c r="E4" s="14">
        <f>D4*Constants!$B$1/Constants!$B$2</f>
        <v>359249.71802638675</v>
      </c>
      <c r="F4" s="14">
        <f>E4*(1+Constants!$B$3)</f>
        <v>427507.16445140023</v>
      </c>
      <c r="G4" s="14">
        <f>F4*$AI4</f>
        <v>255175.01585593246</v>
      </c>
      <c r="H4" s="14">
        <f t="shared" ref="H4:H28" si="0">($B4 + $C4) *G4</f>
        <v>0</v>
      </c>
      <c r="J4" s="14">
        <f>J3*(1+Summary!$F$12)</f>
        <v>510352.43349999998</v>
      </c>
      <c r="K4" s="14">
        <f>J4*Constants!$B$1/Constants!$B$2</f>
        <v>354504.24719140015</v>
      </c>
      <c r="L4" s="14">
        <f>K4*(1+Constants!$B$3)</f>
        <v>421860.05415776616</v>
      </c>
      <c r="M4" s="14">
        <f>L4*$AI4</f>
        <v>251804.30869932272</v>
      </c>
      <c r="N4" s="14">
        <f t="shared" ref="N4:N28" si="1">($B4 + $C4) *M4</f>
        <v>0</v>
      </c>
      <c r="P4" s="14">
        <f>P3*(1+Summary!$F$12)</f>
        <v>510352.43349999998</v>
      </c>
      <c r="Q4" s="14">
        <f>P4*Constants!$B$1/Constants!$B$2</f>
        <v>354504.24719140015</v>
      </c>
      <c r="R4" s="14">
        <f>Q4*(1+Constants!$B$3)</f>
        <v>421860.05415776616</v>
      </c>
      <c r="S4" s="14">
        <f>R4*$AI4</f>
        <v>251804.30869932272</v>
      </c>
      <c r="T4" s="14">
        <f t="shared" ref="T4:T28" si="2">$C4 *S4</f>
        <v>0</v>
      </c>
      <c r="V4" s="14">
        <f>V3*(1+Summary!$H$12)</f>
        <v>506051</v>
      </c>
      <c r="W4" s="14">
        <f>V4*Constants!$B$1/Constants!$B$2</f>
        <v>351516.35814714938</v>
      </c>
      <c r="X4" s="14">
        <f>W4*(1+Constants!$B$3)</f>
        <v>418304.46619510773</v>
      </c>
      <c r="Y4" s="14">
        <f>X4*$AI4</f>
        <v>249682.01160071662</v>
      </c>
      <c r="Z4" s="14">
        <f t="shared" ref="Z4:Z28" si="3">($B4 + $C4) *Y4</f>
        <v>0</v>
      </c>
      <c r="AB4" s="14">
        <f>AB3*(1+Summary!$J$12)</f>
        <v>423245</v>
      </c>
      <c r="AC4" s="14">
        <f>AB4*Constants!$B$1/Constants!$B$2</f>
        <v>293997.12875577807</v>
      </c>
      <c r="AD4" s="14">
        <f>AC4*(1+Constants!$B$3)</f>
        <v>349856.58321937587</v>
      </c>
      <c r="AE4" s="14">
        <f>AD4*$AI4</f>
        <v>208826.11238777378</v>
      </c>
      <c r="AF4" s="14">
        <f t="shared" ref="AF4:AF28" si="4">$C4 *AE4</f>
        <v>0</v>
      </c>
      <c r="AH4" s="10">
        <f>IF(A4&gt;2054,0.03,0.035)</f>
        <v>3.5000000000000003E-2</v>
      </c>
      <c r="AI4" s="1">
        <f>AI3/(1+AH4)</f>
        <v>0.59689061862480486</v>
      </c>
    </row>
    <row r="5" spans="1:35" x14ac:dyDescent="0.3">
      <c r="A5">
        <v>2026</v>
      </c>
      <c r="D5" s="14">
        <f>D4*(1+Summary!$C$12)</f>
        <v>528562.17268399999</v>
      </c>
      <c r="E5" s="14">
        <f>D5*Constants!$B$1/Constants!$B$2</f>
        <v>367153.21182296728</v>
      </c>
      <c r="F5" s="14">
        <f>E5*(1+Constants!$B$3)</f>
        <v>436912.32206933101</v>
      </c>
      <c r="G5" s="14">
        <f>F5*$AI5</f>
        <v>251969.91903841836</v>
      </c>
      <c r="H5" s="14">
        <f t="shared" si="0"/>
        <v>0</v>
      </c>
      <c r="J5" s="14">
        <f>J4*(1+Summary!$F$12)</f>
        <v>514690.42918474996</v>
      </c>
      <c r="K5" s="14">
        <f>J5*Constants!$B$1/Constants!$B$2</f>
        <v>357517.53329252708</v>
      </c>
      <c r="L5" s="14">
        <f>K5*(1+Constants!$B$3)</f>
        <v>425445.86461810721</v>
      </c>
      <c r="M5" s="14">
        <f>L5*$AI5</f>
        <v>245357.14523987152</v>
      </c>
      <c r="N5" s="14">
        <f t="shared" si="1"/>
        <v>0</v>
      </c>
      <c r="P5" s="14">
        <f>P4*(1+Summary!$F$12)</f>
        <v>514690.42918474996</v>
      </c>
      <c r="Q5" s="14">
        <f>P5*Constants!$B$1/Constants!$B$2</f>
        <v>357517.53329252708</v>
      </c>
      <c r="R5" s="14">
        <f>Q5*(1+Constants!$B$3)</f>
        <v>425445.86461810721</v>
      </c>
      <c r="S5" s="14">
        <f>R5*$AI5</f>
        <v>245357.14523987152</v>
      </c>
      <c r="T5" s="14">
        <f t="shared" si="2"/>
        <v>0</v>
      </c>
      <c r="V5" s="14">
        <f>V4*(1+Summary!$H$12)</f>
        <v>506051</v>
      </c>
      <c r="W5" s="14">
        <f>V5*Constants!$B$1/Constants!$B$2</f>
        <v>351516.35814714938</v>
      </c>
      <c r="X5" s="14">
        <f>W5*(1+Constants!$B$3)</f>
        <v>418304.46619510773</v>
      </c>
      <c r="Y5" s="14">
        <f>X5*$AI5</f>
        <v>241238.65855141706</v>
      </c>
      <c r="Z5" s="14">
        <f t="shared" si="3"/>
        <v>0</v>
      </c>
      <c r="AB5" s="14">
        <f>AB4*(1+Summary!$J$12)</f>
        <v>423245</v>
      </c>
      <c r="AC5" s="14">
        <f>AB5*Constants!$B$1/Constants!$B$2</f>
        <v>293997.12875577807</v>
      </c>
      <c r="AD5" s="14">
        <f>AC5*(1+Constants!$B$3)</f>
        <v>349856.58321937587</v>
      </c>
      <c r="AE5" s="14">
        <f>AD5*$AI5</f>
        <v>201764.35979495055</v>
      </c>
      <c r="AF5" s="14">
        <f t="shared" si="4"/>
        <v>0</v>
      </c>
      <c r="AH5" s="10">
        <f>IF(A5&gt;2054,0.03,0.035)</f>
        <v>3.5000000000000003E-2</v>
      </c>
      <c r="AI5" s="1">
        <f t="shared" ref="AI5:AI28" si="5">AI4/(1+AH5)</f>
        <v>0.57670591171478736</v>
      </c>
    </row>
    <row r="6" spans="1:35" x14ac:dyDescent="0.3">
      <c r="A6">
        <v>2027</v>
      </c>
      <c r="D6" s="14">
        <f>D5*(1+Summary!$C$12)</f>
        <v>540190.54048304795</v>
      </c>
      <c r="E6" s="14">
        <f>D6*Constants!$B$1/Constants!$B$2</f>
        <v>375230.58248307247</v>
      </c>
      <c r="F6" s="14">
        <f>E6*(1+Constants!$B$3)</f>
        <v>446524.39315485623</v>
      </c>
      <c r="G6" s="14">
        <f>F6*$AI6</f>
        <v>248805.07947561695</v>
      </c>
      <c r="H6" s="14">
        <f t="shared" si="0"/>
        <v>0</v>
      </c>
      <c r="J6" s="14">
        <f>J5*(1+Summary!$F$12)</f>
        <v>519065.29783282033</v>
      </c>
      <c r="K6" s="14">
        <f>J6*Constants!$B$1/Constants!$B$2</f>
        <v>360556.43232551357</v>
      </c>
      <c r="L6" s="14">
        <f>K6*(1+Constants!$B$3)</f>
        <v>429062.15446736111</v>
      </c>
      <c r="M6" s="14">
        <f>L6*$AI6</f>
        <v>239075.05408155598</v>
      </c>
      <c r="N6" s="14">
        <f t="shared" si="1"/>
        <v>0</v>
      </c>
      <c r="P6" s="14">
        <f>P5*(1+Summary!$F$12)</f>
        <v>519065.29783282033</v>
      </c>
      <c r="Q6" s="14">
        <f>P6*Constants!$B$1/Constants!$B$2</f>
        <v>360556.43232551357</v>
      </c>
      <c r="R6" s="14">
        <f>Q6*(1+Constants!$B$3)</f>
        <v>429062.15446736111</v>
      </c>
      <c r="S6" s="14">
        <f>R6*$AI6</f>
        <v>239075.05408155598</v>
      </c>
      <c r="T6" s="14">
        <f t="shared" si="2"/>
        <v>0</v>
      </c>
      <c r="V6" s="14">
        <f>V5*(1+Summary!$H$12)</f>
        <v>506051</v>
      </c>
      <c r="W6" s="14">
        <f>V6*Constants!$B$1/Constants!$B$2</f>
        <v>351516.35814714938</v>
      </c>
      <c r="X6" s="14">
        <f>W6*(1+Constants!$B$3)</f>
        <v>418304.46619510773</v>
      </c>
      <c r="Y6" s="14">
        <f>X6*$AI6</f>
        <v>233080.82951827737</v>
      </c>
      <c r="Z6" s="14">
        <f t="shared" si="3"/>
        <v>0</v>
      </c>
      <c r="AB6" s="14">
        <f>AB5*(1+Summary!$J$12)</f>
        <v>423245</v>
      </c>
      <c r="AC6" s="14">
        <f>AB6*Constants!$B$1/Constants!$B$2</f>
        <v>293997.12875577807</v>
      </c>
      <c r="AD6" s="14">
        <f>AC6*(1+Constants!$B$3)</f>
        <v>349856.58321937587</v>
      </c>
      <c r="AE6" s="14">
        <f>AD6*$AI6</f>
        <v>194941.41042990392</v>
      </c>
      <c r="AF6" s="14">
        <f t="shared" si="4"/>
        <v>0</v>
      </c>
      <c r="AH6" s="10">
        <f>IF(A6&gt;2054,0.03,0.035)</f>
        <v>3.5000000000000003E-2</v>
      </c>
      <c r="AI6" s="1">
        <f t="shared" si="5"/>
        <v>0.55720377943457722</v>
      </c>
    </row>
    <row r="7" spans="1:35" x14ac:dyDescent="0.3">
      <c r="A7">
        <v>2028</v>
      </c>
      <c r="D7" s="14">
        <f>D6*(1+Summary!$C$12)</f>
        <v>552074.73237367498</v>
      </c>
      <c r="E7" s="14">
        <f>D7*Constants!$B$1/Constants!$B$2</f>
        <v>383485.65529770008</v>
      </c>
      <c r="F7" s="14">
        <f>E7*(1+Constants!$B$3)</f>
        <v>456347.92980426305</v>
      </c>
      <c r="G7" s="14">
        <f>F7*$AI7</f>
        <v>245679.99152085074</v>
      </c>
      <c r="H7" s="14">
        <f t="shared" si="0"/>
        <v>0</v>
      </c>
      <c r="J7" s="14">
        <f>J6*(1+Summary!$F$12)</f>
        <v>523477.35286439926</v>
      </c>
      <c r="K7" s="14">
        <f>J7*Constants!$B$1/Constants!$B$2</f>
        <v>363621.1620002804</v>
      </c>
      <c r="L7" s="14">
        <f>K7*(1+Constants!$B$3)</f>
        <v>432709.18278033368</v>
      </c>
      <c r="M7" s="14">
        <f>L7*$AI7</f>
        <v>232953.80873550649</v>
      </c>
      <c r="N7" s="14">
        <f t="shared" si="1"/>
        <v>0</v>
      </c>
      <c r="P7" s="14">
        <f>P6*(1+Summary!$F$12)</f>
        <v>523477.35286439926</v>
      </c>
      <c r="Q7" s="14">
        <f>P7*Constants!$B$1/Constants!$B$2</f>
        <v>363621.1620002804</v>
      </c>
      <c r="R7" s="14">
        <f>Q7*(1+Constants!$B$3)</f>
        <v>432709.18278033368</v>
      </c>
      <c r="S7" s="14">
        <f>R7*$AI7</f>
        <v>232953.80873550649</v>
      </c>
      <c r="T7" s="14">
        <f t="shared" si="2"/>
        <v>0</v>
      </c>
      <c r="V7" s="14">
        <f>V6*(1+Summary!$H$12)</f>
        <v>506051</v>
      </c>
      <c r="W7" s="14">
        <f>V7*Constants!$B$1/Constants!$B$2</f>
        <v>351516.35814714938</v>
      </c>
      <c r="X7" s="14">
        <f>W7*(1+Constants!$B$3)</f>
        <v>418304.46619510773</v>
      </c>
      <c r="Y7" s="14">
        <f>X7*$AI7</f>
        <v>225198.8690997849</v>
      </c>
      <c r="Z7" s="14">
        <f t="shared" si="3"/>
        <v>0</v>
      </c>
      <c r="AB7" s="14">
        <f>AB6*(1+Summary!$J$12)</f>
        <v>423245</v>
      </c>
      <c r="AC7" s="14">
        <f>AB7*Constants!$B$1/Constants!$B$2</f>
        <v>293997.12875577807</v>
      </c>
      <c r="AD7" s="14">
        <f>AC7*(1+Constants!$B$3)</f>
        <v>349856.58321937587</v>
      </c>
      <c r="AE7" s="14">
        <f>AD7*$AI7</f>
        <v>188349.1888211632</v>
      </c>
      <c r="AF7" s="14">
        <f t="shared" si="4"/>
        <v>0</v>
      </c>
      <c r="AH7" s="10">
        <f>IF(A7&gt;2054,0.03,0.035)</f>
        <v>3.5000000000000003E-2</v>
      </c>
      <c r="AI7" s="1">
        <f t="shared" si="5"/>
        <v>0.53836113955031617</v>
      </c>
    </row>
    <row r="8" spans="1:35" x14ac:dyDescent="0.3">
      <c r="A8">
        <v>2029</v>
      </c>
      <c r="D8" s="14">
        <f>D7*(1+Summary!$C$12)</f>
        <v>564220.37648589583</v>
      </c>
      <c r="E8" s="14">
        <f>D8*Constants!$B$1/Constants!$B$2</f>
        <v>391922.33971424948</v>
      </c>
      <c r="F8" s="14">
        <f>E8*(1+Constants!$B$3)</f>
        <v>466387.58425995684</v>
      </c>
      <c r="G8" s="14">
        <f>F8*$AI8</f>
        <v>242594.15587855992</v>
      </c>
      <c r="H8" s="14">
        <f t="shared" si="0"/>
        <v>0</v>
      </c>
      <c r="J8" s="14">
        <f>J7*(1+Summary!$F$12)</f>
        <v>527926.91036374657</v>
      </c>
      <c r="K8" s="14">
        <f>J8*Constants!$B$1/Constants!$B$2</f>
        <v>366711.94187728269</v>
      </c>
      <c r="L8" s="14">
        <f>K8*(1+Constants!$B$3)</f>
        <v>436387.21083396638</v>
      </c>
      <c r="M8" s="14">
        <f>L8*$AI8</f>
        <v>226989.29092730267</v>
      </c>
      <c r="N8" s="14">
        <f t="shared" si="1"/>
        <v>0</v>
      </c>
      <c r="P8" s="14">
        <f>P7*(1+Summary!$F$12)</f>
        <v>527926.91036374657</v>
      </c>
      <c r="Q8" s="14">
        <f>P8*Constants!$B$1/Constants!$B$2</f>
        <v>366711.94187728269</v>
      </c>
      <c r="R8" s="14">
        <f>Q8*(1+Constants!$B$3)</f>
        <v>436387.21083396638</v>
      </c>
      <c r="S8" s="14">
        <f>R8*$AI8</f>
        <v>226989.29092730267</v>
      </c>
      <c r="T8" s="14">
        <f t="shared" si="2"/>
        <v>0</v>
      </c>
      <c r="V8" s="14">
        <f>V7*(1+Summary!$H$12)</f>
        <v>506051</v>
      </c>
      <c r="W8" s="14">
        <f>V8*Constants!$B$1/Constants!$B$2</f>
        <v>351516.35814714938</v>
      </c>
      <c r="X8" s="14">
        <f>W8*(1+Constants!$B$3)</f>
        <v>418304.46619510773</v>
      </c>
      <c r="Y8" s="14">
        <f>X8*$AI8</f>
        <v>217583.44840558933</v>
      </c>
      <c r="Z8" s="14">
        <f t="shared" si="3"/>
        <v>0</v>
      </c>
      <c r="AB8" s="14">
        <f>AB7*(1+Summary!$J$12)</f>
        <v>423245</v>
      </c>
      <c r="AC8" s="14">
        <f>AB8*Constants!$B$1/Constants!$B$2</f>
        <v>293997.12875577807</v>
      </c>
      <c r="AD8" s="14">
        <f>AC8*(1+Constants!$B$3)</f>
        <v>349856.58321937587</v>
      </c>
      <c r="AE8" s="14">
        <f>AD8*$AI8</f>
        <v>181979.89258083404</v>
      </c>
      <c r="AF8" s="14">
        <f t="shared" si="4"/>
        <v>0</v>
      </c>
      <c r="AH8" s="10">
        <f>IF(A8&gt;2054,0.03,0.035)</f>
        <v>3.5000000000000003E-2</v>
      </c>
      <c r="AI8" s="1">
        <f t="shared" si="5"/>
        <v>0.520155690386779</v>
      </c>
    </row>
    <row r="9" spans="1:35" x14ac:dyDescent="0.3">
      <c r="A9">
        <v>2030</v>
      </c>
      <c r="D9" s="14">
        <f>D8*(1+Summary!$C$12)</f>
        <v>576633.22476858553</v>
      </c>
      <c r="E9" s="14">
        <f>D9*Constants!$B$1/Constants!$B$2</f>
        <v>400544.63118796295</v>
      </c>
      <c r="F9" s="14">
        <f>E9*(1+Constants!$B$3)</f>
        <v>476648.11111367587</v>
      </c>
      <c r="G9" s="14">
        <f>F9*$AI9</f>
        <v>239547.07952452972</v>
      </c>
      <c r="H9" s="14">
        <f t="shared" si="0"/>
        <v>0</v>
      </c>
      <c r="J9" s="14">
        <f>J8*(1+Summary!$F$12)</f>
        <v>532414.28910183837</v>
      </c>
      <c r="K9" s="14">
        <f>J9*Constants!$B$1/Constants!$B$2</f>
        <v>369828.99338323961</v>
      </c>
      <c r="L9" s="14">
        <f>K9*(1+Constants!$B$3)</f>
        <v>440096.50212605513</v>
      </c>
      <c r="M9" s="14">
        <f>L9*$AI9</f>
        <v>221177.48782626551</v>
      </c>
      <c r="N9" s="14">
        <f t="shared" si="1"/>
        <v>0</v>
      </c>
      <c r="P9" s="14">
        <f>P8*(1+Summary!$F$12)</f>
        <v>532414.28910183837</v>
      </c>
      <c r="Q9" s="14">
        <f>P9*Constants!$B$1/Constants!$B$2</f>
        <v>369828.99338323961</v>
      </c>
      <c r="R9" s="14">
        <f>Q9*(1+Constants!$B$3)</f>
        <v>440096.50212605513</v>
      </c>
      <c r="S9" s="14">
        <f>R9*$AI9</f>
        <v>221177.48782626551</v>
      </c>
      <c r="T9" s="14">
        <f t="shared" si="2"/>
        <v>0</v>
      </c>
      <c r="V9" s="14">
        <f>V8*(1+Summary!$H$12)</f>
        <v>506051</v>
      </c>
      <c r="W9" s="14">
        <f>V9*Constants!$B$1/Constants!$B$2</f>
        <v>351516.35814714938</v>
      </c>
      <c r="X9" s="14">
        <f>W9*(1+Constants!$B$3)</f>
        <v>418304.46619510773</v>
      </c>
      <c r="Y9" s="14">
        <f>X9*$AI9</f>
        <v>210225.55401506217</v>
      </c>
      <c r="Z9" s="14">
        <f t="shared" si="3"/>
        <v>0</v>
      </c>
      <c r="AB9" s="14">
        <f>AB8*(1+Summary!$J$12)</f>
        <v>423245</v>
      </c>
      <c r="AC9" s="14">
        <f>AB9*Constants!$B$1/Constants!$B$2</f>
        <v>293997.12875577807</v>
      </c>
      <c r="AD9" s="14">
        <f>AC9*(1+Constants!$B$3)</f>
        <v>349856.58321937587</v>
      </c>
      <c r="AE9" s="14">
        <f>AD9*$AI9</f>
        <v>175825.983169888</v>
      </c>
      <c r="AF9" s="14">
        <f t="shared" si="4"/>
        <v>0</v>
      </c>
      <c r="AH9" s="10">
        <f>IF(A9&gt;2054,0.03,0.035)</f>
        <v>3.5000000000000003E-2</v>
      </c>
      <c r="AI9" s="1">
        <f t="shared" si="5"/>
        <v>0.50256588443167061</v>
      </c>
    </row>
    <row r="10" spans="1:35" x14ac:dyDescent="0.3">
      <c r="A10">
        <v>2031</v>
      </c>
      <c r="B10">
        <v>150</v>
      </c>
      <c r="C10">
        <v>150</v>
      </c>
      <c r="D10" s="14">
        <f>D9*(1+Summary!$C$12)</f>
        <v>589319.1557134944</v>
      </c>
      <c r="E10" s="14">
        <f>D10*Constants!$B$1/Constants!$B$2</f>
        <v>409356.61307409813</v>
      </c>
      <c r="F10" s="14">
        <f>E10*(1+Constants!$B$3)</f>
        <v>487134.36955817678</v>
      </c>
      <c r="G10" s="14">
        <f>F10*$AI10</f>
        <v>236538.27562712019</v>
      </c>
      <c r="H10" s="14">
        <f t="shared" si="0"/>
        <v>70961482.688136056</v>
      </c>
      <c r="J10" s="14">
        <f>J9*(1+Summary!$F$12)</f>
        <v>536939.81055920396</v>
      </c>
      <c r="K10" s="14">
        <f>J10*Constants!$B$1/Constants!$B$2</f>
        <v>372972.53982699709</v>
      </c>
      <c r="L10" s="14">
        <f>K10*(1+Constants!$B$3)</f>
        <v>443837.3223941265</v>
      </c>
      <c r="M10" s="14">
        <f>L10*$AI10</f>
        <v>215514.4893456896</v>
      </c>
      <c r="N10" s="14">
        <f t="shared" si="1"/>
        <v>64654346.803706877</v>
      </c>
      <c r="P10" s="14">
        <f>P9*(1+Summary!$F$12)</f>
        <v>536939.81055920396</v>
      </c>
      <c r="Q10" s="14">
        <f>P10*Constants!$B$1/Constants!$B$2</f>
        <v>372972.53982699709</v>
      </c>
      <c r="R10" s="14">
        <f>Q10*(1+Constants!$B$3)</f>
        <v>443837.3223941265</v>
      </c>
      <c r="S10" s="14">
        <f>R10*$AI10</f>
        <v>215514.4893456896</v>
      </c>
      <c r="T10" s="14">
        <f t="shared" si="2"/>
        <v>32327173.401853438</v>
      </c>
      <c r="V10" s="14">
        <f>V9*(1+Summary!$H$12)</f>
        <v>506051</v>
      </c>
      <c r="W10" s="14">
        <f>V10*Constants!$B$1/Constants!$B$2</f>
        <v>351516.35814714938</v>
      </c>
      <c r="X10" s="14">
        <f>W10*(1+Constants!$B$3)</f>
        <v>418304.46619510773</v>
      </c>
      <c r="Y10" s="14">
        <f>X10*$AI10</f>
        <v>203116.47730923884</v>
      </c>
      <c r="Z10" s="14">
        <f t="shared" si="3"/>
        <v>60934943.192771651</v>
      </c>
      <c r="AB10" s="14">
        <f>AB9*(1+Summary!$J$12)</f>
        <v>423245</v>
      </c>
      <c r="AC10" s="14">
        <f>AB10*Constants!$B$1/Constants!$B$2</f>
        <v>293997.12875577807</v>
      </c>
      <c r="AD10" s="14">
        <f>AC10*(1+Constants!$B$3)</f>
        <v>349856.58321937587</v>
      </c>
      <c r="AE10" s="14">
        <f>AD10*$AI10</f>
        <v>169880.17697573721</v>
      </c>
      <c r="AF10" s="14">
        <f t="shared" si="4"/>
        <v>25482026.546360582</v>
      </c>
      <c r="AH10" s="10">
        <f>IF(A10&gt;2054,0.03,0.035)</f>
        <v>3.5000000000000003E-2</v>
      </c>
      <c r="AI10" s="1">
        <f t="shared" si="5"/>
        <v>0.48557090283253201</v>
      </c>
    </row>
    <row r="11" spans="1:35" x14ac:dyDescent="0.3">
      <c r="A11">
        <v>2032</v>
      </c>
      <c r="B11">
        <v>150</v>
      </c>
      <c r="C11">
        <v>150</v>
      </c>
      <c r="D11" s="14">
        <f>D10*(1+Summary!$C$12)</f>
        <v>602284.17713919131</v>
      </c>
      <c r="E11" s="14">
        <f>D11*Constants!$B$1/Constants!$B$2</f>
        <v>418362.45856172824</v>
      </c>
      <c r="F11" s="14">
        <f>E11*(1+Constants!$B$3)</f>
        <v>497851.32568845659</v>
      </c>
      <c r="G11" s="14">
        <f>F11*$AI11</f>
        <v>233567.26346948484</v>
      </c>
      <c r="H11" s="14">
        <f t="shared" si="0"/>
        <v>70070179.040845454</v>
      </c>
      <c r="J11" s="14">
        <f>J10*(1+Summary!$F$12)</f>
        <v>541503.79894895712</v>
      </c>
      <c r="K11" s="14">
        <f>J11*Constants!$B$1/Constants!$B$2</f>
        <v>376142.80641552655</v>
      </c>
      <c r="L11" s="14">
        <f>K11*(1+Constants!$B$3)</f>
        <v>447609.93963447656</v>
      </c>
      <c r="M11" s="14">
        <f>L11*$AI11</f>
        <v>209996.48551220092</v>
      </c>
      <c r="N11" s="14">
        <f t="shared" si="1"/>
        <v>62998945.653660275</v>
      </c>
      <c r="P11" s="14">
        <f>P10*(1+Summary!$F$12)</f>
        <v>541503.79894895712</v>
      </c>
      <c r="Q11" s="14">
        <f>P11*Constants!$B$1/Constants!$B$2</f>
        <v>376142.80641552655</v>
      </c>
      <c r="R11" s="14">
        <f>Q11*(1+Constants!$B$3)</f>
        <v>447609.93963447656</v>
      </c>
      <c r="S11" s="14">
        <f>R11*$AI11</f>
        <v>209996.48551220092</v>
      </c>
      <c r="T11" s="14">
        <f t="shared" si="2"/>
        <v>31499472.826830138</v>
      </c>
      <c r="V11" s="14">
        <f>V10*(1+Summary!$H$12)</f>
        <v>506051</v>
      </c>
      <c r="W11" s="14">
        <f>V11*Constants!$B$1/Constants!$B$2</f>
        <v>351516.35814714938</v>
      </c>
      <c r="X11" s="14">
        <f>W11*(1+Constants!$B$3)</f>
        <v>418304.46619510773</v>
      </c>
      <c r="Y11" s="14">
        <f>X11*$AI11</f>
        <v>196247.8041635158</v>
      </c>
      <c r="Z11" s="14">
        <f t="shared" si="3"/>
        <v>58874341.249054737</v>
      </c>
      <c r="AB11" s="14">
        <f>AB10*(1+Summary!$J$12)</f>
        <v>423245</v>
      </c>
      <c r="AC11" s="14">
        <f>AB11*Constants!$B$1/Constants!$B$2</f>
        <v>293997.12875577807</v>
      </c>
      <c r="AD11" s="14">
        <f>AC11*(1+Constants!$B$3)</f>
        <v>349856.58321937587</v>
      </c>
      <c r="AE11" s="14">
        <f>AD11*$AI11</f>
        <v>164135.43669153354</v>
      </c>
      <c r="AF11" s="14">
        <f t="shared" si="4"/>
        <v>24620315.503730033</v>
      </c>
      <c r="AH11" s="10">
        <f>IF(A11&gt;2054,0.03,0.035)</f>
        <v>3.5000000000000003E-2</v>
      </c>
      <c r="AI11" s="1">
        <f t="shared" si="5"/>
        <v>0.46915063075606961</v>
      </c>
    </row>
    <row r="12" spans="1:35" x14ac:dyDescent="0.3">
      <c r="A12">
        <v>2033</v>
      </c>
      <c r="B12">
        <v>150</v>
      </c>
      <c r="C12">
        <v>150</v>
      </c>
      <c r="D12" s="14">
        <f>D11*(1+Summary!$C$12)</f>
        <v>615534.42903625348</v>
      </c>
      <c r="E12" s="14">
        <f>D12*Constants!$B$1/Constants!$B$2</f>
        <v>427566.4326500863</v>
      </c>
      <c r="F12" s="14">
        <f>E12*(1+Constants!$B$3)</f>
        <v>508804.05485360266</v>
      </c>
      <c r="G12" s="14">
        <f>F12*$AI12</f>
        <v>230633.56837276672</v>
      </c>
      <c r="H12" s="14">
        <f t="shared" si="0"/>
        <v>69190070.511830017</v>
      </c>
      <c r="J12" s="14">
        <f>J11*(1+Summary!$F$12)</f>
        <v>546106.58124002325</v>
      </c>
      <c r="K12" s="14">
        <f>J12*Constants!$B$1/Constants!$B$2</f>
        <v>379340.02027005848</v>
      </c>
      <c r="L12" s="14">
        <f>K12*(1+Constants!$B$3)</f>
        <v>451414.62412136956</v>
      </c>
      <c r="M12" s="14">
        <f>L12*$AI12</f>
        <v>204619.76390246823</v>
      </c>
      <c r="N12" s="14">
        <f t="shared" si="1"/>
        <v>61385929.17074047</v>
      </c>
      <c r="P12" s="14">
        <f>P11*(1+Summary!$F$12)</f>
        <v>546106.58124002325</v>
      </c>
      <c r="Q12" s="14">
        <f>P12*Constants!$B$1/Constants!$B$2</f>
        <v>379340.02027005848</v>
      </c>
      <c r="R12" s="14">
        <f>Q12*(1+Constants!$B$3)</f>
        <v>451414.62412136956</v>
      </c>
      <c r="S12" s="14">
        <f>R12*$AI12</f>
        <v>204619.76390246823</v>
      </c>
      <c r="T12" s="14">
        <f t="shared" si="2"/>
        <v>30692964.585370235</v>
      </c>
      <c r="V12" s="14">
        <f>V11*(1+Summary!$H$12)</f>
        <v>506051</v>
      </c>
      <c r="W12" s="14">
        <f>V12*Constants!$B$1/Constants!$B$2</f>
        <v>351516.35814714938</v>
      </c>
      <c r="X12" s="14">
        <f>W12*(1+Constants!$B$3)</f>
        <v>418304.46619510773</v>
      </c>
      <c r="Y12" s="14">
        <f>X12*$AI12</f>
        <v>189611.40498890416</v>
      </c>
      <c r="Z12" s="14">
        <f t="shared" si="3"/>
        <v>56883421.496671252</v>
      </c>
      <c r="AB12" s="14">
        <f>AB11*(1+Summary!$J$12)</f>
        <v>423245</v>
      </c>
      <c r="AC12" s="14">
        <f>AB12*Constants!$B$1/Constants!$B$2</f>
        <v>293997.12875577807</v>
      </c>
      <c r="AD12" s="14">
        <f>AC12*(1+Constants!$B$3)</f>
        <v>349856.58321937587</v>
      </c>
      <c r="AE12" s="14">
        <f>AD12*$AI12</f>
        <v>158584.96298698895</v>
      </c>
      <c r="AF12" s="14">
        <f t="shared" si="4"/>
        <v>23787744.448048342</v>
      </c>
      <c r="AH12" s="10">
        <f>IF(A12&gt;2054,0.03,0.035)</f>
        <v>3.5000000000000003E-2</v>
      </c>
      <c r="AI12" s="1">
        <f t="shared" si="5"/>
        <v>0.45328563358074364</v>
      </c>
    </row>
    <row r="13" spans="1:35" x14ac:dyDescent="0.3">
      <c r="A13">
        <v>2034</v>
      </c>
      <c r="B13">
        <v>150</v>
      </c>
      <c r="C13">
        <v>150</v>
      </c>
      <c r="D13" s="14">
        <f>D12*(1+Summary!$C$12)</f>
        <v>629076.1864750511</v>
      </c>
      <c r="E13" s="14">
        <f>D13*Constants!$B$1/Constants!$B$2</f>
        <v>436972.89416838821</v>
      </c>
      <c r="F13" s="14">
        <f>E13*(1+Constants!$B$3)</f>
        <v>519997.74406038196</v>
      </c>
      <c r="G13" s="14">
        <f>F13*$AI13</f>
        <v>227736.72162025858</v>
      </c>
      <c r="H13" s="14">
        <f t="shared" si="0"/>
        <v>68321016.486077577</v>
      </c>
      <c r="J13" s="14">
        <f>J12*(1+Summary!$F$12)</f>
        <v>550748.48718056339</v>
      </c>
      <c r="K13" s="14">
        <f>J13*Constants!$B$1/Constants!$B$2</f>
        <v>382564.41044235392</v>
      </c>
      <c r="L13" s="14">
        <f>K13*(1+Constants!$B$3)</f>
        <v>455251.64842640114</v>
      </c>
      <c r="M13" s="14">
        <f>L13*$AI13</f>
        <v>199380.70714554514</v>
      </c>
      <c r="N13" s="14">
        <f t="shared" si="1"/>
        <v>59814212.14366354</v>
      </c>
      <c r="P13" s="14">
        <f>P12*(1+Summary!$F$12)</f>
        <v>550748.48718056339</v>
      </c>
      <c r="Q13" s="14">
        <f>P13*Constants!$B$1/Constants!$B$2</f>
        <v>382564.41044235392</v>
      </c>
      <c r="R13" s="14">
        <f>Q13*(1+Constants!$B$3)</f>
        <v>455251.64842640114</v>
      </c>
      <c r="S13" s="14">
        <f>R13*$AI13</f>
        <v>199380.70714554514</v>
      </c>
      <c r="T13" s="14">
        <f t="shared" si="2"/>
        <v>29907106.07183177</v>
      </c>
      <c r="V13" s="14">
        <f>V12*(1+Summary!$H$12)</f>
        <v>506051</v>
      </c>
      <c r="W13" s="14">
        <f>V13*Constants!$B$1/Constants!$B$2</f>
        <v>351516.35814714938</v>
      </c>
      <c r="X13" s="14">
        <f>W13*(1+Constants!$B$3)</f>
        <v>418304.46619510773</v>
      </c>
      <c r="Y13" s="14">
        <f>X13*$AI13</f>
        <v>183199.42511005237</v>
      </c>
      <c r="Z13" s="14">
        <f t="shared" si="3"/>
        <v>54959827.533015713</v>
      </c>
      <c r="AB13" s="14">
        <f>AB12*(1+Summary!$J$12)</f>
        <v>423245</v>
      </c>
      <c r="AC13" s="14">
        <f>AB13*Constants!$B$1/Constants!$B$2</f>
        <v>293997.12875577807</v>
      </c>
      <c r="AD13" s="14">
        <f>AC13*(1+Constants!$B$3)</f>
        <v>349856.58321937587</v>
      </c>
      <c r="AE13" s="14">
        <f>AD13*$AI13</f>
        <v>153222.18646085891</v>
      </c>
      <c r="AF13" s="14">
        <f t="shared" si="4"/>
        <v>22983327.969128836</v>
      </c>
      <c r="AH13" s="10">
        <f>IF(A13&gt;2054,0.03,0.035)</f>
        <v>3.5000000000000003E-2</v>
      </c>
      <c r="AI13" s="1">
        <f t="shared" si="5"/>
        <v>0.43795713389443836</v>
      </c>
    </row>
    <row r="14" spans="1:35" x14ac:dyDescent="0.3">
      <c r="A14">
        <v>2035</v>
      </c>
      <c r="B14">
        <v>58</v>
      </c>
      <c r="C14">
        <v>150</v>
      </c>
      <c r="D14" s="14">
        <f>D13*(1+Summary!$C$12)</f>
        <v>642915.86257750227</v>
      </c>
      <c r="E14" s="14">
        <f>D14*Constants!$B$1/Constants!$B$2</f>
        <v>446586.2978400928</v>
      </c>
      <c r="F14" s="14">
        <f>E14*(1+Constants!$B$3)</f>
        <v>531437.69442971039</v>
      </c>
      <c r="G14" s="14">
        <f>F14*$AI14</f>
        <v>224876.26038251625</v>
      </c>
      <c r="H14" s="14">
        <f t="shared" si="0"/>
        <v>46774262.159563377</v>
      </c>
      <c r="J14" s="14">
        <f>J13*(1+Summary!$F$12)</f>
        <v>555429.84932159819</v>
      </c>
      <c r="K14" s="14">
        <f>J14*Constants!$B$1/Constants!$B$2</f>
        <v>385816.20793111395</v>
      </c>
      <c r="L14" s="14">
        <f>K14*(1+Constants!$B$3)</f>
        <v>459121.28743802558</v>
      </c>
      <c r="M14" s="14">
        <f>L14*$AI14</f>
        <v>194275.79048916165</v>
      </c>
      <c r="N14" s="14">
        <f t="shared" si="1"/>
        <v>40409364.421745621</v>
      </c>
      <c r="P14" s="14">
        <f>P13*(1+Summary!$F$12)</f>
        <v>555429.84932159819</v>
      </c>
      <c r="Q14" s="14">
        <f>P14*Constants!$B$1/Constants!$B$2</f>
        <v>385816.20793111395</v>
      </c>
      <c r="R14" s="14">
        <f>Q14*(1+Constants!$B$3)</f>
        <v>459121.28743802558</v>
      </c>
      <c r="S14" s="14">
        <f>R14*$AI14</f>
        <v>194275.79048916165</v>
      </c>
      <c r="T14" s="14">
        <f t="shared" si="2"/>
        <v>29141368.573374249</v>
      </c>
      <c r="V14" s="14">
        <f>V13*(1+Summary!$H$12)</f>
        <v>506051</v>
      </c>
      <c r="W14" s="14">
        <f>V14*Constants!$B$1/Constants!$B$2</f>
        <v>351516.35814714938</v>
      </c>
      <c r="X14" s="14">
        <f>W14*(1+Constants!$B$3)</f>
        <v>418304.46619510773</v>
      </c>
      <c r="Y14" s="14">
        <f>X14*$AI14</f>
        <v>177004.27546864963</v>
      </c>
      <c r="Z14" s="14">
        <f t="shared" si="3"/>
        <v>36816889.297479123</v>
      </c>
      <c r="AB14" s="14">
        <f>AB13*(1+Summary!$J$12)</f>
        <v>423245</v>
      </c>
      <c r="AC14" s="14">
        <f>AB14*Constants!$B$1/Constants!$B$2</f>
        <v>293997.12875577807</v>
      </c>
      <c r="AD14" s="14">
        <f>AC14*(1+Constants!$B$3)</f>
        <v>349856.58321937587</v>
      </c>
      <c r="AE14" s="14">
        <f>AD14*$AI14</f>
        <v>148040.75986556418</v>
      </c>
      <c r="AF14" s="14">
        <f t="shared" si="4"/>
        <v>22206113.979834627</v>
      </c>
      <c r="AH14" s="10">
        <f>IF(A14&gt;2054,0.03,0.035)</f>
        <v>3.5000000000000003E-2</v>
      </c>
      <c r="AI14" s="1">
        <f t="shared" si="5"/>
        <v>0.42314698926998878</v>
      </c>
    </row>
    <row r="15" spans="1:35" x14ac:dyDescent="0.3">
      <c r="A15">
        <v>2036</v>
      </c>
      <c r="C15">
        <v>150</v>
      </c>
      <c r="D15" s="14">
        <f>D14*(1+Summary!$C$12)</f>
        <v>657060.0115542073</v>
      </c>
      <c r="E15" s="14">
        <f>D15*Constants!$B$1/Constants!$B$2</f>
        <v>456411.19639257481</v>
      </c>
      <c r="F15" s="14">
        <f>E15*(1+Constants!$B$3)</f>
        <v>543129.32370716403</v>
      </c>
      <c r="G15" s="14">
        <f>F15*$AI15</f>
        <v>222051.72764341222</v>
      </c>
      <c r="H15" s="14">
        <f t="shared" si="0"/>
        <v>33307759.146511834</v>
      </c>
      <c r="J15" s="14">
        <f>J14*(1+Summary!$F$12)</f>
        <v>560151.00304083177</v>
      </c>
      <c r="K15" s="14">
        <f>J15*Constants!$B$1/Constants!$B$2</f>
        <v>389095.64569852845</v>
      </c>
      <c r="L15" s="14">
        <f>K15*(1+Constants!$B$3)</f>
        <v>463023.81838124886</v>
      </c>
      <c r="M15" s="14">
        <f>L15*$AI15</f>
        <v>189301.57942832808</v>
      </c>
      <c r="N15" s="14">
        <f t="shared" si="1"/>
        <v>28395236.914249212</v>
      </c>
      <c r="P15" s="14">
        <f>P14*(1+Summary!$F$12)</f>
        <v>560151.00304083177</v>
      </c>
      <c r="Q15" s="14">
        <f>P15*Constants!$B$1/Constants!$B$2</f>
        <v>389095.64569852845</v>
      </c>
      <c r="R15" s="14">
        <f>Q15*(1+Constants!$B$3)</f>
        <v>463023.81838124886</v>
      </c>
      <c r="S15" s="14">
        <f>R15*$AI15</f>
        <v>189301.57942832808</v>
      </c>
      <c r="T15" s="14">
        <f t="shared" si="2"/>
        <v>28395236.914249212</v>
      </c>
      <c r="V15" s="14">
        <f>V14*(1+Summary!$H$12)</f>
        <v>506051</v>
      </c>
      <c r="W15" s="14">
        <f>V15*Constants!$B$1/Constants!$B$2</f>
        <v>351516.35814714938</v>
      </c>
      <c r="X15" s="14">
        <f>W15*(1+Constants!$B$3)</f>
        <v>418304.46619510773</v>
      </c>
      <c r="Y15" s="14">
        <f>X15*$AI15</f>
        <v>171018.62364120741</v>
      </c>
      <c r="Z15" s="14">
        <f t="shared" si="3"/>
        <v>25652793.546181113</v>
      </c>
      <c r="AB15" s="14">
        <f>AB14*(1+Summary!$J$12)</f>
        <v>423245</v>
      </c>
      <c r="AC15" s="14">
        <f>AB15*Constants!$B$1/Constants!$B$2</f>
        <v>293997.12875577807</v>
      </c>
      <c r="AD15" s="14">
        <f>AC15*(1+Constants!$B$3)</f>
        <v>349856.58321937587</v>
      </c>
      <c r="AE15" s="14">
        <f>AD15*$AI15</f>
        <v>143034.55059474803</v>
      </c>
      <c r="AF15" s="14">
        <f t="shared" si="4"/>
        <v>21455182.589212205</v>
      </c>
      <c r="AH15" s="10">
        <f>IF(A15&gt;2054,0.03,0.035)</f>
        <v>3.5000000000000003E-2</v>
      </c>
      <c r="AI15" s="1">
        <f t="shared" si="5"/>
        <v>0.40883767079225974</v>
      </c>
    </row>
    <row r="16" spans="1:35" x14ac:dyDescent="0.3">
      <c r="A16">
        <v>2037</v>
      </c>
      <c r="C16">
        <v>150</v>
      </c>
      <c r="D16" s="14">
        <f>D15*(1+Summary!$C$12)</f>
        <v>671515.33180839987</v>
      </c>
      <c r="E16" s="14">
        <f>D16*Constants!$B$1/Constants!$B$2</f>
        <v>466452.24271321145</v>
      </c>
      <c r="F16" s="14">
        <f>E16*(1+Constants!$B$3)</f>
        <v>555078.16882872162</v>
      </c>
      <c r="G16" s="14">
        <f>F16*$AI16</f>
        <v>219262.67212711816</v>
      </c>
      <c r="H16" s="14">
        <f t="shared" si="0"/>
        <v>32889400.819067724</v>
      </c>
      <c r="J16" s="14">
        <f>J15*(1+Summary!$F$12)</f>
        <v>564912.28656667878</v>
      </c>
      <c r="K16" s="14">
        <f>J16*Constants!$B$1/Constants!$B$2</f>
        <v>392402.95868696587</v>
      </c>
      <c r="L16" s="14">
        <f>K16*(1+Constants!$B$3)</f>
        <v>466959.52083748934</v>
      </c>
      <c r="M16" s="14">
        <f>L16*$AI16</f>
        <v>184454.7273946559</v>
      </c>
      <c r="N16" s="14">
        <f t="shared" si="1"/>
        <v>27668209.109198384</v>
      </c>
      <c r="P16" s="14">
        <f>P15*(1+Summary!$F$12)</f>
        <v>564912.28656667878</v>
      </c>
      <c r="Q16" s="14">
        <f>P16*Constants!$B$1/Constants!$B$2</f>
        <v>392402.95868696587</v>
      </c>
      <c r="R16" s="14">
        <f>Q16*(1+Constants!$B$3)</f>
        <v>466959.52083748934</v>
      </c>
      <c r="S16" s="14">
        <f>R16*$AI16</f>
        <v>184454.7273946559</v>
      </c>
      <c r="T16" s="14">
        <f t="shared" si="2"/>
        <v>27668209.109198384</v>
      </c>
      <c r="V16" s="14">
        <f>V15*(1+Summary!$H$12)</f>
        <v>506051</v>
      </c>
      <c r="W16" s="14">
        <f>V16*Constants!$B$1/Constants!$B$2</f>
        <v>351516.35814714938</v>
      </c>
      <c r="X16" s="14">
        <f>W16*(1+Constants!$B$3)</f>
        <v>418304.46619510773</v>
      </c>
      <c r="Y16" s="14">
        <f>X16*$AI16</f>
        <v>165235.38516058688</v>
      </c>
      <c r="Z16" s="14">
        <f t="shared" si="3"/>
        <v>24785307.774088033</v>
      </c>
      <c r="AB16" s="14">
        <f>AB15*(1+Summary!$J$12)</f>
        <v>423245</v>
      </c>
      <c r="AC16" s="14">
        <f>AB16*Constants!$B$1/Constants!$B$2</f>
        <v>293997.12875577807</v>
      </c>
      <c r="AD16" s="14">
        <f>AC16*(1+Constants!$B$3)</f>
        <v>349856.58321937587</v>
      </c>
      <c r="AE16" s="14">
        <f>AD16*$AI16</f>
        <v>138197.63342487733</v>
      </c>
      <c r="AF16" s="14">
        <f t="shared" si="4"/>
        <v>20729645.013731599</v>
      </c>
      <c r="AH16" s="10">
        <f>IF(A16&gt;2054,0.03,0.035)</f>
        <v>3.5000000000000003E-2</v>
      </c>
      <c r="AI16" s="1">
        <f t="shared" si="5"/>
        <v>0.39501224231136212</v>
      </c>
    </row>
    <row r="17" spans="1:35" x14ac:dyDescent="0.3">
      <c r="A17">
        <v>2038</v>
      </c>
      <c r="C17">
        <v>150</v>
      </c>
      <c r="D17" s="14">
        <f>D16*(1+Summary!$C$12)</f>
        <v>686288.66910818464</v>
      </c>
      <c r="E17" s="14">
        <f>D17*Constants!$B$1/Constants!$B$2</f>
        <v>476714.19205290207</v>
      </c>
      <c r="F17" s="14">
        <f>E17*(1+Constants!$B$3)</f>
        <v>567289.88854295341</v>
      </c>
      <c r="G17" s="14">
        <f>F17*$AI17</f>
        <v>216508.64822600456</v>
      </c>
      <c r="H17" s="14">
        <f t="shared" si="0"/>
        <v>32476297.233900685</v>
      </c>
      <c r="J17" s="14">
        <f>J16*(1+Summary!$F$12)</f>
        <v>569714.04100249556</v>
      </c>
      <c r="K17" s="14">
        <f>J17*Constants!$B$1/Constants!$B$2</f>
        <v>395738.38383580511</v>
      </c>
      <c r="L17" s="14">
        <f>K17*(1+Constants!$B$3)</f>
        <v>470928.67676460807</v>
      </c>
      <c r="M17" s="14">
        <f>L17*$AI17</f>
        <v>179731.97350484107</v>
      </c>
      <c r="N17" s="14">
        <f t="shared" si="1"/>
        <v>26959796.025726158</v>
      </c>
      <c r="P17" s="14">
        <f>P16*(1+Summary!$F$12)</f>
        <v>569714.04100249556</v>
      </c>
      <c r="Q17" s="14">
        <f>P17*Constants!$B$1/Constants!$B$2</f>
        <v>395738.38383580511</v>
      </c>
      <c r="R17" s="14">
        <f>Q17*(1+Constants!$B$3)</f>
        <v>470928.67676460807</v>
      </c>
      <c r="S17" s="14">
        <f>R17*$AI17</f>
        <v>179731.97350484107</v>
      </c>
      <c r="T17" s="14">
        <f t="shared" si="2"/>
        <v>26959796.025726158</v>
      </c>
      <c r="V17" s="14">
        <f>V16*(1+Summary!$H$12)</f>
        <v>506051</v>
      </c>
      <c r="W17" s="14">
        <f>V17*Constants!$B$1/Constants!$B$2</f>
        <v>351516.35814714938</v>
      </c>
      <c r="X17" s="14">
        <f>W17*(1+Constants!$B$3)</f>
        <v>418304.46619510773</v>
      </c>
      <c r="Y17" s="14">
        <f>X17*$AI17</f>
        <v>159647.71513100181</v>
      </c>
      <c r="Z17" s="14">
        <f t="shared" si="3"/>
        <v>23947157.269650273</v>
      </c>
      <c r="AB17" s="14">
        <f>AB16*(1+Summary!$J$12)</f>
        <v>423245</v>
      </c>
      <c r="AC17" s="14">
        <f>AB17*Constants!$B$1/Constants!$B$2</f>
        <v>293997.12875577807</v>
      </c>
      <c r="AD17" s="14">
        <f>AC17*(1+Constants!$B$3)</f>
        <v>349856.58321937587</v>
      </c>
      <c r="AE17" s="14">
        <f>AD17*$AI17</f>
        <v>133524.28350229692</v>
      </c>
      <c r="AF17" s="14">
        <f t="shared" si="4"/>
        <v>20028642.525344539</v>
      </c>
      <c r="AH17" s="10">
        <f>IF(A17&gt;2054,0.03,0.035)</f>
        <v>3.5000000000000003E-2</v>
      </c>
      <c r="AI17" s="1">
        <f t="shared" si="5"/>
        <v>0.38165434039745133</v>
      </c>
    </row>
    <row r="18" spans="1:35" x14ac:dyDescent="0.3">
      <c r="A18">
        <v>2039</v>
      </c>
      <c r="C18">
        <v>150</v>
      </c>
      <c r="D18" s="14">
        <f>D17*(1+Summary!$C$12)</f>
        <v>701387.01982856472</v>
      </c>
      <c r="E18" s="14">
        <f>D18*Constants!$B$1/Constants!$B$2</f>
        <v>487201.90427806595</v>
      </c>
      <c r="F18" s="14">
        <f>E18*(1+Constants!$B$3)</f>
        <v>579770.26609089843</v>
      </c>
      <c r="G18" s="14">
        <f>F18*$AI18</f>
        <v>213789.2159294461</v>
      </c>
      <c r="H18" s="14">
        <f t="shared" si="0"/>
        <v>32068382.389416914</v>
      </c>
      <c r="J18" s="14">
        <f>J17*(1+Summary!$F$12)</f>
        <v>574556.61035101674</v>
      </c>
      <c r="K18" s="14">
        <f>J18*Constants!$B$1/Constants!$B$2</f>
        <v>399102.1600984094</v>
      </c>
      <c r="L18" s="14">
        <f>K18*(1+Constants!$B$3)</f>
        <v>474931.57051710715</v>
      </c>
      <c r="M18" s="14">
        <f>L18*$AI18</f>
        <v>175130.1403667944</v>
      </c>
      <c r="N18" s="14">
        <f t="shared" si="1"/>
        <v>26269521.055019159</v>
      </c>
      <c r="P18" s="14">
        <f>P17*(1+Summary!$F$12)</f>
        <v>574556.61035101674</v>
      </c>
      <c r="Q18" s="14">
        <f>P18*Constants!$B$1/Constants!$B$2</f>
        <v>399102.1600984094</v>
      </c>
      <c r="R18" s="14">
        <f>Q18*(1+Constants!$B$3)</f>
        <v>474931.57051710715</v>
      </c>
      <c r="S18" s="14">
        <f>R18*$AI18</f>
        <v>175130.1403667944</v>
      </c>
      <c r="T18" s="14">
        <f t="shared" si="2"/>
        <v>26269521.055019159</v>
      </c>
      <c r="V18" s="14">
        <f>V17*(1+Summary!$H$12)</f>
        <v>506051</v>
      </c>
      <c r="W18" s="14">
        <f>V18*Constants!$B$1/Constants!$B$2</f>
        <v>351516.35814714938</v>
      </c>
      <c r="X18" s="14">
        <f>W18*(1+Constants!$B$3)</f>
        <v>418304.46619510773</v>
      </c>
      <c r="Y18" s="14">
        <f>X18*$AI18</f>
        <v>154249.00012657183</v>
      </c>
      <c r="Z18" s="14">
        <f t="shared" si="3"/>
        <v>23137350.018985774</v>
      </c>
      <c r="AB18" s="14">
        <f>AB17*(1+Summary!$J$12)</f>
        <v>423245</v>
      </c>
      <c r="AC18" s="14">
        <f>AB18*Constants!$B$1/Constants!$B$2</f>
        <v>293997.12875577807</v>
      </c>
      <c r="AD18" s="14">
        <f>AC18*(1+Constants!$B$3)</f>
        <v>349856.58321937587</v>
      </c>
      <c r="AE18" s="14">
        <f>AD18*$AI18</f>
        <v>129008.96956743667</v>
      </c>
      <c r="AF18" s="14">
        <f t="shared" si="4"/>
        <v>19351345.435115501</v>
      </c>
      <c r="AH18" s="10">
        <f>IF(A18&gt;2054,0.03,0.035)</f>
        <v>3.5000000000000003E-2</v>
      </c>
      <c r="AI18" s="1">
        <f t="shared" si="5"/>
        <v>0.36874815497338298</v>
      </c>
    </row>
    <row r="19" spans="1:35" x14ac:dyDescent="0.3">
      <c r="A19">
        <v>2040</v>
      </c>
      <c r="C19">
        <v>150</v>
      </c>
      <c r="D19" s="14">
        <f>D18*(1+Summary!$C$12)</f>
        <v>716817.53426479315</v>
      </c>
      <c r="E19" s="14">
        <f>D19*Constants!$B$1/Constants!$B$2</f>
        <v>497920.3461721834</v>
      </c>
      <c r="F19" s="14">
        <f>E19*(1+Constants!$B$3)</f>
        <v>592525.21194489824</v>
      </c>
      <c r="G19" s="14">
        <f>F19*$AI19</f>
        <v>211103.94075352073</v>
      </c>
      <c r="H19" s="14">
        <f t="shared" si="0"/>
        <v>31665591.113028109</v>
      </c>
      <c r="J19" s="14">
        <f>J18*(1+Summary!$F$12)</f>
        <v>579440.34153900039</v>
      </c>
      <c r="K19" s="14">
        <f>J19*Constants!$B$1/Constants!$B$2</f>
        <v>402494.52845924592</v>
      </c>
      <c r="L19" s="14">
        <f>K19*(1+Constants!$B$3)</f>
        <v>478968.48886650265</v>
      </c>
      <c r="M19" s="14">
        <f>L19*$AI19</f>
        <v>170646.13194194416</v>
      </c>
      <c r="N19" s="14">
        <f t="shared" si="1"/>
        <v>25596919.791291624</v>
      </c>
      <c r="P19" s="14">
        <f>P18*(1+Summary!$F$12)</f>
        <v>579440.34153900039</v>
      </c>
      <c r="Q19" s="14">
        <f>P19*Constants!$B$1/Constants!$B$2</f>
        <v>402494.52845924592</v>
      </c>
      <c r="R19" s="14">
        <f>Q19*(1+Constants!$B$3)</f>
        <v>478968.48886650265</v>
      </c>
      <c r="S19" s="14">
        <f>R19*$AI19</f>
        <v>170646.13194194416</v>
      </c>
      <c r="T19" s="14">
        <f t="shared" si="2"/>
        <v>25596919.791291624</v>
      </c>
      <c r="V19" s="14">
        <f>V18*(1+Summary!$H$12)</f>
        <v>506051</v>
      </c>
      <c r="W19" s="14">
        <f>V19*Constants!$B$1/Constants!$B$2</f>
        <v>351516.35814714938</v>
      </c>
      <c r="X19" s="14">
        <f>W19*(1+Constants!$B$3)</f>
        <v>418304.46619510773</v>
      </c>
      <c r="Y19" s="14">
        <f>X19*$AI19</f>
        <v>149032.85036383753</v>
      </c>
      <c r="Z19" s="14">
        <f t="shared" si="3"/>
        <v>22354927.55457563</v>
      </c>
      <c r="AB19" s="14">
        <f>AB18*(1+Summary!$J$12)</f>
        <v>423245</v>
      </c>
      <c r="AC19" s="14">
        <f>AB19*Constants!$B$1/Constants!$B$2</f>
        <v>293997.12875577807</v>
      </c>
      <c r="AD19" s="14">
        <f>AC19*(1+Constants!$B$3)</f>
        <v>349856.58321937587</v>
      </c>
      <c r="AE19" s="14">
        <f>AD19*$AI19</f>
        <v>124646.34740815139</v>
      </c>
      <c r="AF19" s="14">
        <f t="shared" si="4"/>
        <v>18696952.111222707</v>
      </c>
      <c r="AH19" s="10">
        <f>IF(A19&gt;2054,0.03,0.035)</f>
        <v>3.5000000000000003E-2</v>
      </c>
      <c r="AI19" s="1">
        <f t="shared" si="5"/>
        <v>0.35627841060230242</v>
      </c>
    </row>
    <row r="20" spans="1:35" x14ac:dyDescent="0.3">
      <c r="A20">
        <v>2041</v>
      </c>
      <c r="C20">
        <v>150</v>
      </c>
      <c r="D20" s="14">
        <f>D19*(1+Summary!$C$12)</f>
        <v>732587.52001861867</v>
      </c>
      <c r="E20" s="14">
        <f>D20*Constants!$B$1/Constants!$B$2</f>
        <v>508874.59378797153</v>
      </c>
      <c r="F20" s="14">
        <f>E20*(1+Constants!$B$3)</f>
        <v>605560.76660768606</v>
      </c>
      <c r="G20" s="14">
        <f>F20*$AI20</f>
        <v>208452.39367159249</v>
      </c>
      <c r="H20" s="14">
        <f t="shared" si="0"/>
        <v>31267859.050738875</v>
      </c>
      <c r="J20" s="14">
        <f>J19*(1+Summary!$F$12)</f>
        <v>584365.58444208186</v>
      </c>
      <c r="K20" s="14">
        <f>J20*Constants!$B$1/Constants!$B$2</f>
        <v>405915.73195114947</v>
      </c>
      <c r="L20" s="14">
        <f>K20*(1+Constants!$B$3)</f>
        <v>483039.72102186782</v>
      </c>
      <c r="M20" s="14">
        <f>L20*$AI20</f>
        <v>166276.93146227117</v>
      </c>
      <c r="N20" s="14">
        <f t="shared" si="1"/>
        <v>24941539.719340675</v>
      </c>
      <c r="P20" s="14">
        <f>P19*(1+Summary!$F$12)</f>
        <v>584365.58444208186</v>
      </c>
      <c r="Q20" s="14">
        <f>P20*Constants!$B$1/Constants!$B$2</f>
        <v>405915.73195114947</v>
      </c>
      <c r="R20" s="14">
        <f>Q20*(1+Constants!$B$3)</f>
        <v>483039.72102186782</v>
      </c>
      <c r="S20" s="14">
        <f>R20*$AI20</f>
        <v>166276.93146227117</v>
      </c>
      <c r="T20" s="14">
        <f t="shared" si="2"/>
        <v>24941539.719340675</v>
      </c>
      <c r="V20" s="14">
        <f>V19*(1+Summary!$H$12)</f>
        <v>506051</v>
      </c>
      <c r="W20" s="14">
        <f>V20*Constants!$B$1/Constants!$B$2</f>
        <v>351516.35814714938</v>
      </c>
      <c r="X20" s="14">
        <f>W20*(1+Constants!$B$3)</f>
        <v>418304.46619510773</v>
      </c>
      <c r="Y20" s="14">
        <f>X20*$AI20</f>
        <v>143993.09213897347</v>
      </c>
      <c r="Z20" s="14">
        <f t="shared" si="3"/>
        <v>21598963.820846021</v>
      </c>
      <c r="AB20" s="14">
        <f>AB19*(1+Summary!$J$12)</f>
        <v>423245</v>
      </c>
      <c r="AC20" s="14">
        <f>AB20*Constants!$B$1/Constants!$B$2</f>
        <v>293997.12875577807</v>
      </c>
      <c r="AD20" s="14">
        <f>AC20*(1+Constants!$B$3)</f>
        <v>349856.58321937587</v>
      </c>
      <c r="AE20" s="14">
        <f>AD20*$AI20</f>
        <v>120431.25353444579</v>
      </c>
      <c r="AF20" s="14">
        <f t="shared" si="4"/>
        <v>18064688.030166868</v>
      </c>
      <c r="AH20" s="10">
        <f>IF(A20&gt;2054,0.03,0.035)</f>
        <v>3.5000000000000003E-2</v>
      </c>
      <c r="AI20" s="1">
        <f t="shared" si="5"/>
        <v>0.34423034840802169</v>
      </c>
    </row>
    <row r="21" spans="1:35" x14ac:dyDescent="0.3">
      <c r="A21">
        <v>2042</v>
      </c>
      <c r="C21">
        <v>150</v>
      </c>
      <c r="D21" s="14">
        <f>D20*(1+Summary!$C$12)</f>
        <v>748704.44545902824</v>
      </c>
      <c r="E21" s="14">
        <f>D21*Constants!$B$1/Constants!$B$2</f>
        <v>520069.8348513068</v>
      </c>
      <c r="F21" s="14">
        <f>E21*(1+Constants!$B$3)</f>
        <v>618883.10347305506</v>
      </c>
      <c r="G21" s="14">
        <f>F21*$AI21</f>
        <v>205834.1510457657</v>
      </c>
      <c r="H21" s="14">
        <f t="shared" si="0"/>
        <v>30875122.656864855</v>
      </c>
      <c r="J21" s="14">
        <f>J20*(1+Summary!$F$12)</f>
        <v>589332.69190983952</v>
      </c>
      <c r="K21" s="14">
        <f>J21*Constants!$B$1/Constants!$B$2</f>
        <v>409366.01567273424</v>
      </c>
      <c r="L21" s="14">
        <f>K21*(1+Constants!$B$3)</f>
        <v>487145.55865055375</v>
      </c>
      <c r="M21" s="14">
        <f>L21*$AI21</f>
        <v>162019.59940067682</v>
      </c>
      <c r="N21" s="14">
        <f t="shared" si="1"/>
        <v>24302939.910101522</v>
      </c>
      <c r="P21" s="14">
        <f>P20*(1+Summary!$F$12)</f>
        <v>589332.69190983952</v>
      </c>
      <c r="Q21" s="14">
        <f>P21*Constants!$B$1/Constants!$B$2</f>
        <v>409366.01567273424</v>
      </c>
      <c r="R21" s="14">
        <f>Q21*(1+Constants!$B$3)</f>
        <v>487145.55865055375</v>
      </c>
      <c r="S21" s="14">
        <f>R21*$AI21</f>
        <v>162019.59940067682</v>
      </c>
      <c r="T21" s="14">
        <f t="shared" si="2"/>
        <v>24302939.910101522</v>
      </c>
      <c r="V21" s="14">
        <f>V20*(1+Summary!$H$12)</f>
        <v>506051</v>
      </c>
      <c r="W21" s="14">
        <f>V21*Constants!$B$1/Constants!$B$2</f>
        <v>351516.35814714938</v>
      </c>
      <c r="X21" s="14">
        <f>W21*(1+Constants!$B$3)</f>
        <v>418304.46619510773</v>
      </c>
      <c r="Y21" s="14">
        <f>X21*$AI21</f>
        <v>139123.76052074731</v>
      </c>
      <c r="Z21" s="14">
        <f t="shared" si="3"/>
        <v>20868564.078112096</v>
      </c>
      <c r="AB21" s="14">
        <f>AB20*(1+Summary!$J$12)</f>
        <v>423245</v>
      </c>
      <c r="AC21" s="14">
        <f>AB21*Constants!$B$1/Constants!$B$2</f>
        <v>293997.12875577807</v>
      </c>
      <c r="AD21" s="14">
        <f>AC21*(1+Constants!$B$3)</f>
        <v>349856.58321937587</v>
      </c>
      <c r="AE21" s="14">
        <f>AD21*$AI21</f>
        <v>116358.69906709739</v>
      </c>
      <c r="AF21" s="14">
        <f t="shared" si="4"/>
        <v>17453804.860064607</v>
      </c>
      <c r="AH21" s="10">
        <f>IF(A21&gt;2054,0.03,0.035)</f>
        <v>3.5000000000000003E-2</v>
      </c>
      <c r="AI21" s="1">
        <f t="shared" si="5"/>
        <v>0.33258970860678427</v>
      </c>
    </row>
    <row r="22" spans="1:35" x14ac:dyDescent="0.3">
      <c r="A22">
        <v>2043</v>
      </c>
      <c r="C22">
        <v>150</v>
      </c>
      <c r="D22" s="14">
        <f>D21*(1+Summary!$C$12)</f>
        <v>765175.94325912686</v>
      </c>
      <c r="E22" s="14">
        <f>D22*Constants!$B$1/Constants!$B$2</f>
        <v>531511.37121803558</v>
      </c>
      <c r="F22" s="14">
        <f>E22*(1+Constants!$B$3)</f>
        <v>632498.53174946236</v>
      </c>
      <c r="G22" s="14">
        <f>F22*$AI22</f>
        <v>203248.79455920056</v>
      </c>
      <c r="H22" s="14">
        <f t="shared" si="0"/>
        <v>30487319.183880083</v>
      </c>
      <c r="J22" s="14">
        <f>J21*(1+Summary!$F$12)</f>
        <v>594342.01979107317</v>
      </c>
      <c r="K22" s="14">
        <f>J22*Constants!$B$1/Constants!$B$2</f>
        <v>412845.62680595246</v>
      </c>
      <c r="L22" s="14">
        <f>K22*(1+Constants!$B$3)</f>
        <v>491286.29589908343</v>
      </c>
      <c r="M22" s="14">
        <f>L22*$AI22</f>
        <v>157871.27149331648</v>
      </c>
      <c r="N22" s="14">
        <f t="shared" si="1"/>
        <v>23680690.723997474</v>
      </c>
      <c r="P22" s="14">
        <f>P21*(1+Summary!$F$12)</f>
        <v>594342.01979107317</v>
      </c>
      <c r="Q22" s="14">
        <f>P22*Constants!$B$1/Constants!$B$2</f>
        <v>412845.62680595246</v>
      </c>
      <c r="R22" s="14">
        <f>Q22*(1+Constants!$B$3)</f>
        <v>491286.29589908343</v>
      </c>
      <c r="S22" s="14">
        <f>R22*$AI22</f>
        <v>157871.27149331648</v>
      </c>
      <c r="T22" s="14">
        <f t="shared" si="2"/>
        <v>23680690.723997474</v>
      </c>
      <c r="V22" s="14">
        <f>V21*(1+Summary!$H$12)</f>
        <v>506051</v>
      </c>
      <c r="W22" s="14">
        <f>V22*Constants!$B$1/Constants!$B$2</f>
        <v>351516.35814714938</v>
      </c>
      <c r="X22" s="14">
        <f>W22*(1+Constants!$B$3)</f>
        <v>418304.46619510773</v>
      </c>
      <c r="Y22" s="14">
        <f>X22*$AI22</f>
        <v>134419.09229057713</v>
      </c>
      <c r="Z22" s="14">
        <f t="shared" si="3"/>
        <v>20162863.843586568</v>
      </c>
      <c r="AB22" s="14">
        <f>AB21*(1+Summary!$J$12)</f>
        <v>423245</v>
      </c>
      <c r="AC22" s="14">
        <f>AB22*Constants!$B$1/Constants!$B$2</f>
        <v>293997.12875577807</v>
      </c>
      <c r="AD22" s="14">
        <f>AC22*(1+Constants!$B$3)</f>
        <v>349856.58321937587</v>
      </c>
      <c r="AE22" s="14">
        <f>AD22*$AI22</f>
        <v>112423.86383294433</v>
      </c>
      <c r="AF22" s="14">
        <f t="shared" si="4"/>
        <v>16863579.57494165</v>
      </c>
      <c r="AH22" s="10">
        <f>IF(A22&gt;2054,0.03,0.035)</f>
        <v>3.5000000000000003E-2</v>
      </c>
      <c r="AI22" s="1">
        <f t="shared" si="5"/>
        <v>0.32134271362974326</v>
      </c>
    </row>
    <row r="23" spans="1:35" x14ac:dyDescent="0.3">
      <c r="A23">
        <v>2044</v>
      </c>
      <c r="C23">
        <v>150</v>
      </c>
      <c r="D23" s="14">
        <f>D22*(1+Summary!$C$12)</f>
        <v>782009.81401082769</v>
      </c>
      <c r="E23" s="14">
        <f>D23*Constants!$B$1/Constants!$B$2</f>
        <v>543204.62138483243</v>
      </c>
      <c r="F23" s="14">
        <f>E23*(1+Constants!$B$3)</f>
        <v>646413.49944795051</v>
      </c>
      <c r="G23" s="14">
        <f>F23*$AI23</f>
        <v>200695.91114927825</v>
      </c>
      <c r="H23" s="14">
        <f t="shared" si="0"/>
        <v>30104386.672391739</v>
      </c>
      <c r="J23" s="14">
        <f>J22*(1+Summary!$F$12)</f>
        <v>599393.92695929727</v>
      </c>
      <c r="K23" s="14">
        <f>J23*Constants!$B$1/Constants!$B$2</f>
        <v>416354.81463380303</v>
      </c>
      <c r="L23" s="14">
        <f>K23*(1+Constants!$B$3)</f>
        <v>495462.22941422561</v>
      </c>
      <c r="M23" s="14">
        <f>L23*$AI23</f>
        <v>153829.15681256974</v>
      </c>
      <c r="N23" s="14">
        <f t="shared" si="1"/>
        <v>23074373.521885462</v>
      </c>
      <c r="P23" s="14">
        <f>P22*(1+Summary!$F$12)</f>
        <v>599393.92695929727</v>
      </c>
      <c r="Q23" s="14">
        <f>P23*Constants!$B$1/Constants!$B$2</f>
        <v>416354.81463380303</v>
      </c>
      <c r="R23" s="14">
        <f>Q23*(1+Constants!$B$3)</f>
        <v>495462.22941422561</v>
      </c>
      <c r="S23" s="14">
        <f>R23*$AI23</f>
        <v>153829.15681256974</v>
      </c>
      <c r="T23" s="14">
        <f t="shared" si="2"/>
        <v>23074373.521885462</v>
      </c>
      <c r="V23" s="14">
        <f>V22*(1+Summary!$H$12)</f>
        <v>506051</v>
      </c>
      <c r="W23" s="14">
        <f>V23*Constants!$B$1/Constants!$B$2</f>
        <v>351516.35814714938</v>
      </c>
      <c r="X23" s="14">
        <f>W23*(1+Constants!$B$3)</f>
        <v>418304.46619510773</v>
      </c>
      <c r="Y23" s="14">
        <f>X23*$AI23</f>
        <v>129873.51912133057</v>
      </c>
      <c r="Z23" s="14">
        <f t="shared" si="3"/>
        <v>19481027.868199583</v>
      </c>
      <c r="AB23" s="14">
        <f>AB22*(1+Summary!$J$12)</f>
        <v>423245</v>
      </c>
      <c r="AC23" s="14">
        <f>AB23*Constants!$B$1/Constants!$B$2</f>
        <v>293997.12875577807</v>
      </c>
      <c r="AD23" s="14">
        <f>AC23*(1+Constants!$B$3)</f>
        <v>349856.58321937587</v>
      </c>
      <c r="AE23" s="14">
        <f>AD23*$AI23</f>
        <v>108622.09065984962</v>
      </c>
      <c r="AF23" s="14">
        <f t="shared" si="4"/>
        <v>16293313.598977443</v>
      </c>
      <c r="AH23" s="10">
        <f>IF(A23&gt;2054,0.03,0.035)</f>
        <v>3.5000000000000003E-2</v>
      </c>
      <c r="AI23" s="1">
        <f t="shared" si="5"/>
        <v>0.3104760518161771</v>
      </c>
    </row>
    <row r="24" spans="1:35" x14ac:dyDescent="0.3">
      <c r="A24">
        <v>2045</v>
      </c>
      <c r="C24">
        <v>150</v>
      </c>
      <c r="D24" s="14">
        <f>D23*(1+Summary!$C$12)</f>
        <v>799214.02991906588</v>
      </c>
      <c r="E24" s="14">
        <f>D24*Constants!$B$1/Constants!$B$2</f>
        <v>555155.1230552987</v>
      </c>
      <c r="F24" s="14">
        <f>E24*(1+Constants!$B$3)</f>
        <v>660634.59643580543</v>
      </c>
      <c r="G24" s="14">
        <f>F24*$AI24</f>
        <v>198175.09294160616</v>
      </c>
      <c r="H24" s="14">
        <f t="shared" si="0"/>
        <v>29726263.941240922</v>
      </c>
      <c r="J24" s="14">
        <f>J23*(1+Summary!$F$12)</f>
        <v>604488.77533845126</v>
      </c>
      <c r="K24" s="14">
        <f>J24*Constants!$B$1/Constants!$B$2</f>
        <v>419893.8305581903</v>
      </c>
      <c r="L24" s="14">
        <f>K24*(1+Constants!$B$3)</f>
        <v>499673.65836424642</v>
      </c>
      <c r="M24" s="14">
        <f>L24*$AI24</f>
        <v>149890.53588934932</v>
      </c>
      <c r="N24" s="14">
        <f t="shared" si="1"/>
        <v>22483580.3834024</v>
      </c>
      <c r="P24" s="14">
        <f>P23*(1+Summary!$F$12)</f>
        <v>604488.77533845126</v>
      </c>
      <c r="Q24" s="14">
        <f>P24*Constants!$B$1/Constants!$B$2</f>
        <v>419893.8305581903</v>
      </c>
      <c r="R24" s="14">
        <f>Q24*(1+Constants!$B$3)</f>
        <v>499673.65836424642</v>
      </c>
      <c r="S24" s="14">
        <f>R24*$AI24</f>
        <v>149890.53588934932</v>
      </c>
      <c r="T24" s="14">
        <f t="shared" si="2"/>
        <v>22483580.3834024</v>
      </c>
      <c r="V24" s="14">
        <f>V23*(1+Summary!$H$12)</f>
        <v>506051</v>
      </c>
      <c r="W24" s="14">
        <f>V24*Constants!$B$1/Constants!$B$2</f>
        <v>351516.35814714938</v>
      </c>
      <c r="X24" s="14">
        <f>W24*(1+Constants!$B$3)</f>
        <v>418304.46619510773</v>
      </c>
      <c r="Y24" s="14">
        <f>X24*$AI24</f>
        <v>125481.66098679282</v>
      </c>
      <c r="Z24" s="14">
        <f t="shared" si="3"/>
        <v>18822249.148018923</v>
      </c>
      <c r="AB24" s="14">
        <f>AB23*(1+Summary!$J$12)</f>
        <v>423245</v>
      </c>
      <c r="AC24" s="14">
        <f>AB24*Constants!$B$1/Constants!$B$2</f>
        <v>293997.12875577807</v>
      </c>
      <c r="AD24" s="14">
        <f>AC24*(1+Constants!$B$3)</f>
        <v>349856.58321937587</v>
      </c>
      <c r="AE24" s="14">
        <f>AD24*$AI24</f>
        <v>104948.87986458901</v>
      </c>
      <c r="AF24" s="14">
        <f t="shared" si="4"/>
        <v>15742331.97968835</v>
      </c>
      <c r="AH24" s="10">
        <f>IF(A24&gt;2054,0.03,0.035)</f>
        <v>3.5000000000000003E-2</v>
      </c>
      <c r="AI24" s="1">
        <f t="shared" si="5"/>
        <v>0.29997686165814214</v>
      </c>
    </row>
    <row r="25" spans="1:35" x14ac:dyDescent="0.3">
      <c r="A25">
        <v>2046</v>
      </c>
      <c r="C25">
        <v>150</v>
      </c>
      <c r="D25" s="14">
        <f>D24*(1+Summary!$C$12)</f>
        <v>816796.73857728532</v>
      </c>
      <c r="E25" s="14">
        <f>D25*Constants!$B$1/Constants!$B$2</f>
        <v>567368.53576251527</v>
      </c>
      <c r="F25" s="14">
        <f>E25*(1+Constants!$B$3)</f>
        <v>675168.5575573931</v>
      </c>
      <c r="G25" s="14">
        <f>F25*$AI25</f>
        <v>195685.9371848517</v>
      </c>
      <c r="H25" s="14">
        <f t="shared" si="0"/>
        <v>29352890.577727757</v>
      </c>
      <c r="J25" s="14">
        <f>J24*(1+Summary!$F$12)</f>
        <v>609626.92992882803</v>
      </c>
      <c r="K25" s="14">
        <f>J25*Constants!$B$1/Constants!$B$2</f>
        <v>423462.92811793491</v>
      </c>
      <c r="L25" s="14">
        <f>K25*(1+Constants!$B$3)</f>
        <v>503920.88446034252</v>
      </c>
      <c r="M25" s="14">
        <f>L25*$AI25</f>
        <v>146052.75888348679</v>
      </c>
      <c r="N25" s="14">
        <f t="shared" si="1"/>
        <v>21907913.832523018</v>
      </c>
      <c r="P25" s="14">
        <f>P24*(1+Summary!$F$12)</f>
        <v>609626.92992882803</v>
      </c>
      <c r="Q25" s="14">
        <f>P25*Constants!$B$1/Constants!$B$2</f>
        <v>423462.92811793491</v>
      </c>
      <c r="R25" s="14">
        <f>Q25*(1+Constants!$B$3)</f>
        <v>503920.88446034252</v>
      </c>
      <c r="S25" s="14">
        <f>R25*$AI25</f>
        <v>146052.75888348679</v>
      </c>
      <c r="T25" s="14">
        <f t="shared" si="2"/>
        <v>21907913.832523018</v>
      </c>
      <c r="V25" s="14">
        <f>V24*(1+Summary!$H$12)</f>
        <v>506051</v>
      </c>
      <c r="W25" s="14">
        <f>V25*Constants!$B$1/Constants!$B$2</f>
        <v>351516.35814714938</v>
      </c>
      <c r="X25" s="14">
        <f>W25*(1+Constants!$B$3)</f>
        <v>418304.46619510773</v>
      </c>
      <c r="Y25" s="14">
        <f>X25*$AI25</f>
        <v>121238.31979400275</v>
      </c>
      <c r="Z25" s="14">
        <f t="shared" si="3"/>
        <v>18185747.969100412</v>
      </c>
      <c r="AB25" s="14">
        <f>AB24*(1+Summary!$J$12)</f>
        <v>423245</v>
      </c>
      <c r="AC25" s="14">
        <f>AB25*Constants!$B$1/Constants!$B$2</f>
        <v>293997.12875577807</v>
      </c>
      <c r="AD25" s="14">
        <f>AC25*(1+Constants!$B$3)</f>
        <v>349856.58321937587</v>
      </c>
      <c r="AE25" s="14">
        <f>AD25*$AI25</f>
        <v>101399.88392713915</v>
      </c>
      <c r="AF25" s="14">
        <f t="shared" si="4"/>
        <v>15209982.589070871</v>
      </c>
      <c r="AH25" s="10">
        <f>IF(A25&gt;2054,0.03,0.035)</f>
        <v>3.5000000000000003E-2</v>
      </c>
      <c r="AI25" s="1">
        <f t="shared" si="5"/>
        <v>0.28983271657791515</v>
      </c>
    </row>
    <row r="26" spans="1:35" x14ac:dyDescent="0.3">
      <c r="A26">
        <v>2047</v>
      </c>
      <c r="C26">
        <v>15</v>
      </c>
      <c r="D26" s="14">
        <f>D25*(1+Summary!$C$12)</f>
        <v>834766.26682598563</v>
      </c>
      <c r="E26" s="14">
        <f>D26*Constants!$B$1/Constants!$B$2</f>
        <v>579850.6435492906</v>
      </c>
      <c r="F26" s="14">
        <f>E26*(1+Constants!$B$3)</f>
        <v>690022.26582365576</v>
      </c>
      <c r="G26" s="14">
        <f>F26*$AI26</f>
        <v>193228.04618639464</v>
      </c>
      <c r="H26" s="14">
        <f t="shared" si="0"/>
        <v>2898420.6927959197</v>
      </c>
      <c r="J26" s="14">
        <f>J25*(1+Summary!$F$12)</f>
        <v>614808.75883322302</v>
      </c>
      <c r="K26" s="14">
        <f>J26*Constants!$B$1/Constants!$B$2</f>
        <v>427062.36300693732</v>
      </c>
      <c r="L26" s="14">
        <f>K26*(1+Constants!$B$3)</f>
        <v>508204.21197825536</v>
      </c>
      <c r="M26" s="14">
        <f>L26*$AI26</f>
        <v>142313.24380096272</v>
      </c>
      <c r="N26" s="14">
        <f t="shared" si="1"/>
        <v>2134698.6570144407</v>
      </c>
      <c r="P26" s="14">
        <f>P25*(1+Summary!$F$12)</f>
        <v>614808.75883322302</v>
      </c>
      <c r="Q26" s="14">
        <f>P26*Constants!$B$1/Constants!$B$2</f>
        <v>427062.36300693732</v>
      </c>
      <c r="R26" s="14">
        <f>Q26*(1+Constants!$B$3)</f>
        <v>508204.21197825536</v>
      </c>
      <c r="S26" s="14">
        <f>R26*$AI26</f>
        <v>142313.24380096272</v>
      </c>
      <c r="T26" s="14">
        <f t="shared" si="2"/>
        <v>2134698.6570144407</v>
      </c>
      <c r="V26" s="14">
        <f>V25*(1+Summary!$H$12)</f>
        <v>506051</v>
      </c>
      <c r="W26" s="14">
        <f>V26*Constants!$B$1/Constants!$B$2</f>
        <v>351516.35814714938</v>
      </c>
      <c r="X26" s="14">
        <f>W26*(1+Constants!$B$3)</f>
        <v>418304.46619510773</v>
      </c>
      <c r="Y26" s="14">
        <f>X26*$AI26</f>
        <v>117138.47323092054</v>
      </c>
      <c r="Z26" s="14">
        <f t="shared" si="3"/>
        <v>1757077.0984638082</v>
      </c>
      <c r="AB26" s="14">
        <f>AB25*(1+Summary!$J$12)</f>
        <v>423245</v>
      </c>
      <c r="AC26" s="14">
        <f>AB26*Constants!$B$1/Constants!$B$2</f>
        <v>293997.12875577807</v>
      </c>
      <c r="AD26" s="14">
        <f>AC26*(1+Constants!$B$3)</f>
        <v>349856.58321937587</v>
      </c>
      <c r="AE26" s="14">
        <f>AD26*$AI26</f>
        <v>97970.902345061986</v>
      </c>
      <c r="AF26" s="14">
        <f t="shared" si="4"/>
        <v>1469563.5351759298</v>
      </c>
      <c r="AH26" s="10">
        <f>IF(A26&gt;2054,0.03,0.035)</f>
        <v>3.5000000000000003E-2</v>
      </c>
      <c r="AI26" s="1">
        <f t="shared" si="5"/>
        <v>0.28003161022020789</v>
      </c>
    </row>
    <row r="27" spans="1:35" x14ac:dyDescent="0.3">
      <c r="A27">
        <v>2048</v>
      </c>
      <c r="D27" s="14">
        <f>D26*(1+Summary!$C$12)</f>
        <v>853131.12469615729</v>
      </c>
      <c r="E27" s="14">
        <f>D27*Constants!$B$1/Constants!$B$2</f>
        <v>592607.35770737496</v>
      </c>
      <c r="F27" s="14">
        <f>E27*(1+Constants!$B$3)</f>
        <v>705202.75567177613</v>
      </c>
      <c r="G27" s="14">
        <f>F27*$AI27</f>
        <v>190801.02724878778</v>
      </c>
      <c r="H27" s="14">
        <f t="shared" si="0"/>
        <v>0</v>
      </c>
      <c r="J27" s="14">
        <f>J26*(1+Summary!$F$12)</f>
        <v>620034.63328330533</v>
      </c>
      <c r="K27" s="14">
        <f>J27*Constants!$B$1/Constants!$B$2</f>
        <v>430692.39309249626</v>
      </c>
      <c r="L27" s="14">
        <f>K27*(1+Constants!$B$3)</f>
        <v>512523.94778007054</v>
      </c>
      <c r="M27" s="14">
        <f>L27*$AI27</f>
        <v>138669.47475678349</v>
      </c>
      <c r="N27" s="14">
        <f t="shared" si="1"/>
        <v>0</v>
      </c>
      <c r="P27" s="14">
        <f>P26*(1+Summary!$F$12)</f>
        <v>620034.63328330533</v>
      </c>
      <c r="Q27" s="14">
        <f>P27*Constants!$B$1/Constants!$B$2</f>
        <v>430692.39309249626</v>
      </c>
      <c r="R27" s="14">
        <f>Q27*(1+Constants!$B$3)</f>
        <v>512523.94778007054</v>
      </c>
      <c r="S27" s="14">
        <f>R27*$AI27</f>
        <v>138669.47475678349</v>
      </c>
      <c r="T27" s="14">
        <f t="shared" si="2"/>
        <v>0</v>
      </c>
      <c r="V27" s="14">
        <f>V26*(1+Summary!$H$12)</f>
        <v>506051</v>
      </c>
      <c r="W27" s="14">
        <f>V27*Constants!$B$1/Constants!$B$2</f>
        <v>351516.35814714938</v>
      </c>
      <c r="X27" s="14">
        <f>W27*(1+Constants!$B$3)</f>
        <v>418304.46619510773</v>
      </c>
      <c r="Y27" s="14">
        <f>X27*$AI27</f>
        <v>113177.26882214546</v>
      </c>
      <c r="Z27" s="14">
        <f t="shared" si="3"/>
        <v>0</v>
      </c>
      <c r="AB27" s="14">
        <f>AB26*(1+Summary!$J$12)</f>
        <v>423245</v>
      </c>
      <c r="AC27" s="14">
        <f>AB27*Constants!$B$1/Constants!$B$2</f>
        <v>293997.12875577807</v>
      </c>
      <c r="AD27" s="14">
        <f>AC27*(1+Constants!$B$3)</f>
        <v>349856.58321937587</v>
      </c>
      <c r="AE27" s="14">
        <f>AD27*$AI27</f>
        <v>94657.876661895658</v>
      </c>
      <c r="AF27" s="14">
        <f t="shared" si="4"/>
        <v>0</v>
      </c>
      <c r="AH27" s="10">
        <f>IF(A27&gt;2054,0.03,0.035)</f>
        <v>3.5000000000000003E-2</v>
      </c>
      <c r="AI27" s="1">
        <f t="shared" si="5"/>
        <v>0.27056194224174679</v>
      </c>
    </row>
    <row r="28" spans="1:35" x14ac:dyDescent="0.3">
      <c r="A28">
        <v>2049</v>
      </c>
      <c r="D28" s="14">
        <f>D27*(1+Summary!$C$12)</f>
        <v>871900.00943947281</v>
      </c>
      <c r="E28" s="14">
        <f>D28*Constants!$B$1/Constants!$B$2</f>
        <v>605644.71957693726</v>
      </c>
      <c r="F28" s="14">
        <f>E28*(1+Constants!$B$3)</f>
        <v>720717.21629655536</v>
      </c>
      <c r="G28" s="14">
        <f>F28*$AI28</f>
        <v>188404.49260701559</v>
      </c>
      <c r="H28" s="14">
        <f t="shared" si="0"/>
        <v>0</v>
      </c>
      <c r="J28" s="14">
        <f>J27*(1+Summary!$F$12)</f>
        <v>625304.92766621336</v>
      </c>
      <c r="K28" s="14">
        <f>J28*Constants!$B$1/Constants!$B$2</f>
        <v>434353.2784337824</v>
      </c>
      <c r="L28" s="14">
        <f>K28*(1+Constants!$B$3)</f>
        <v>516880.40133620106</v>
      </c>
      <c r="M28" s="14">
        <f>L28*$AI28</f>
        <v>135119.00028233443</v>
      </c>
      <c r="N28" s="14">
        <f t="shared" si="1"/>
        <v>0</v>
      </c>
      <c r="P28" s="14">
        <f>P27*(1+Summary!$F$12)</f>
        <v>625304.92766621336</v>
      </c>
      <c r="Q28" s="14">
        <f>P28*Constants!$B$1/Constants!$B$2</f>
        <v>434353.2784337824</v>
      </c>
      <c r="R28" s="14">
        <f>Q28*(1+Constants!$B$3)</f>
        <v>516880.40133620106</v>
      </c>
      <c r="S28" s="14">
        <f>R28*$AI28</f>
        <v>135119.00028233443</v>
      </c>
      <c r="T28" s="14">
        <f t="shared" si="2"/>
        <v>0</v>
      </c>
      <c r="V28" s="14">
        <f>V27*(1+Summary!$H$12)</f>
        <v>506051</v>
      </c>
      <c r="W28" s="14">
        <f>V28*Constants!$B$1/Constants!$B$2</f>
        <v>351516.35814714938</v>
      </c>
      <c r="X28" s="14">
        <f>W28*(1+Constants!$B$3)</f>
        <v>418304.46619510773</v>
      </c>
      <c r="Y28" s="14">
        <f>X28*$AI28</f>
        <v>109350.01818564779</v>
      </c>
      <c r="Z28" s="14">
        <f t="shared" si="3"/>
        <v>0</v>
      </c>
      <c r="AB28" s="14">
        <f>AB27*(1+Summary!$J$12)</f>
        <v>423245</v>
      </c>
      <c r="AC28" s="14">
        <f>AB28*Constants!$B$1/Constants!$B$2</f>
        <v>293997.12875577807</v>
      </c>
      <c r="AD28" s="14">
        <f>AC28*(1+Constants!$B$3)</f>
        <v>349856.58321937587</v>
      </c>
      <c r="AE28" s="14">
        <f>AD28*$AI28</f>
        <v>91456.885663667301</v>
      </c>
      <c r="AF28" s="14">
        <f t="shared" si="4"/>
        <v>0</v>
      </c>
      <c r="AH28" s="10">
        <f>IF(A28&gt;2054,0.03,0.035)</f>
        <v>3.5000000000000003E-2</v>
      </c>
      <c r="AI28" s="1">
        <f t="shared" si="5"/>
        <v>0.26141250458139786</v>
      </c>
    </row>
    <row r="29" spans="1:35" x14ac:dyDescent="0.3">
      <c r="G29" s="14"/>
    </row>
    <row r="30" spans="1:35" x14ac:dyDescent="0.3">
      <c r="A30" t="s">
        <v>10</v>
      </c>
      <c r="B30" s="2">
        <f>SUM(B3:B29)</f>
        <v>658</v>
      </c>
      <c r="C30" s="2">
        <f>SUM(C3:C29)</f>
        <v>2415</v>
      </c>
      <c r="D30" s="2"/>
      <c r="H30" s="28">
        <f>SUM(H3:H29)</f>
        <v>672436704.36401796</v>
      </c>
      <c r="N30" s="28">
        <f>SUM(N3:N29)</f>
        <v>566678217.83726621</v>
      </c>
      <c r="T30" s="28">
        <f>SUM(T3:T29)</f>
        <v>430983505.1030094</v>
      </c>
      <c r="Z30" s="28">
        <f>SUM(Z3:Z29)</f>
        <v>509223452.75880057</v>
      </c>
      <c r="AF30" s="28">
        <f>SUM(AF3:AF29)</f>
        <v>320438560.28981465</v>
      </c>
    </row>
    <row r="31" spans="1:35" s="19" customFormat="1" x14ac:dyDescent="0.3">
      <c r="A31" s="19" t="s">
        <v>13</v>
      </c>
      <c r="B31" s="19">
        <f>Summary!B3*Summary!C3</f>
        <v>658.00000000000011</v>
      </c>
      <c r="C31" s="19">
        <f>Summary!B4*Summary!C4</f>
        <v>2415</v>
      </c>
      <c r="H31" s="33">
        <v>672070000</v>
      </c>
    </row>
    <row r="32" spans="1:35" x14ac:dyDescent="0.3">
      <c r="A32" t="s">
        <v>40</v>
      </c>
      <c r="B32" s="10">
        <f>(B31-B30)/B31</f>
        <v>1.7277634912099698E-16</v>
      </c>
      <c r="C32" s="10">
        <f>(C31-C30)/C31</f>
        <v>0</v>
      </c>
      <c r="D32" s="34"/>
      <c r="E32" s="34"/>
      <c r="F32" s="34"/>
      <c r="G32" s="34"/>
      <c r="H32" s="10">
        <f>(H31-H30)/H31</f>
        <v>-5.4563418099002096E-4</v>
      </c>
    </row>
  </sheetData>
  <mergeCells count="5">
    <mergeCell ref="AB1:AF1"/>
    <mergeCell ref="B1:H1"/>
    <mergeCell ref="J1:N1"/>
    <mergeCell ref="V1:Z1"/>
    <mergeCell ref="P1:T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20FE3-3492-40DE-9A25-B602A146B2AA}">
  <dimension ref="A1:G17"/>
  <sheetViews>
    <sheetView workbookViewId="0">
      <selection activeCell="B18" sqref="B18"/>
    </sheetView>
  </sheetViews>
  <sheetFormatPr defaultRowHeight="14.4" x14ac:dyDescent="0.3"/>
  <cols>
    <col min="1" max="1" width="17.21875" style="5" bestFit="1" customWidth="1"/>
    <col min="2" max="2" width="16.33203125" customWidth="1"/>
    <col min="3" max="4" width="14.88671875" customWidth="1"/>
    <col min="6" max="6" width="11.33203125" customWidth="1"/>
    <col min="7" max="7" width="11.21875" customWidth="1"/>
  </cols>
  <sheetData>
    <row r="1" spans="1:7" x14ac:dyDescent="0.3">
      <c r="B1" s="3" t="s">
        <v>33</v>
      </c>
      <c r="C1" s="3" t="s">
        <v>36</v>
      </c>
      <c r="D1" s="3" t="s">
        <v>37</v>
      </c>
      <c r="F1" s="2" t="s">
        <v>34</v>
      </c>
      <c r="G1" s="2" t="s">
        <v>35</v>
      </c>
    </row>
    <row r="2" spans="1:7" x14ac:dyDescent="0.3">
      <c r="A2" s="32">
        <v>41821</v>
      </c>
      <c r="B2" s="22">
        <v>290515</v>
      </c>
      <c r="C2" s="22">
        <f>B2*$F3/$F2</f>
        <v>387645.01506024098</v>
      </c>
      <c r="D2" s="22">
        <f>B2*$G3/$G2</f>
        <v>389604.51504584786</v>
      </c>
      <c r="F2">
        <v>99.6</v>
      </c>
      <c r="G2">
        <v>77.430000000000007</v>
      </c>
    </row>
    <row r="3" spans="1:7" x14ac:dyDescent="0.3">
      <c r="A3" s="32">
        <v>45474</v>
      </c>
      <c r="B3" s="22">
        <v>424076</v>
      </c>
      <c r="C3" s="22">
        <f>B3</f>
        <v>424076</v>
      </c>
      <c r="D3" s="22">
        <f>B3</f>
        <v>424076</v>
      </c>
      <c r="F3">
        <v>132.9</v>
      </c>
      <c r="G3">
        <v>103.84</v>
      </c>
    </row>
    <row r="4" spans="1:7" x14ac:dyDescent="0.3">
      <c r="A4" s="5" t="s">
        <v>31</v>
      </c>
      <c r="B4" s="10">
        <f>B3/B2 - 1</f>
        <v>0.45973873982410551</v>
      </c>
      <c r="C4" s="10">
        <f>C3/C2 - 1</f>
        <v>9.3980274540864439E-2</v>
      </c>
      <c r="D4" s="10">
        <f>D3/D2 - 1</f>
        <v>8.8478145460135771E-2</v>
      </c>
    </row>
    <row r="5" spans="1:7" x14ac:dyDescent="0.3">
      <c r="A5" s="5" t="s">
        <v>32</v>
      </c>
      <c r="B5">
        <f>($A3-$A2) / 365.3</f>
        <v>10</v>
      </c>
      <c r="C5">
        <f>($A3-$A2) / 365.3</f>
        <v>10</v>
      </c>
      <c r="D5">
        <f>($A3-$A2) / 365.3</f>
        <v>10</v>
      </c>
    </row>
    <row r="6" spans="1:7" x14ac:dyDescent="0.3">
      <c r="A6" s="42" t="s">
        <v>38</v>
      </c>
      <c r="B6" s="43">
        <f>(B3/B2)^(1/B5) - 1</f>
        <v>3.8550247069190524E-2</v>
      </c>
      <c r="C6" s="43">
        <f>(C3/C2)^(1/C5) - 1</f>
        <v>9.0227289434088309E-3</v>
      </c>
      <c r="D6" s="43">
        <f>(D3/D2)^(1/D5) - 1</f>
        <v>8.5140928475362365E-3</v>
      </c>
    </row>
    <row r="8" spans="1:7" x14ac:dyDescent="0.3">
      <c r="A8" s="32">
        <v>42064</v>
      </c>
      <c r="B8" s="22">
        <v>322820</v>
      </c>
      <c r="C8" s="22">
        <f>B8*$F9/$F8</f>
        <v>441122.51004016068</v>
      </c>
      <c r="D8" s="22">
        <f>B8*$G9/$G8</f>
        <v>443763.59763920965</v>
      </c>
      <c r="F8">
        <v>99.6</v>
      </c>
      <c r="G8">
        <v>77.94</v>
      </c>
    </row>
    <row r="9" spans="1:7" x14ac:dyDescent="0.3">
      <c r="A9" s="32">
        <v>45717</v>
      </c>
      <c r="B9" s="22">
        <v>430514</v>
      </c>
      <c r="C9" s="22">
        <f>B9</f>
        <v>430514</v>
      </c>
      <c r="D9" s="22">
        <f>B9</f>
        <v>430514</v>
      </c>
      <c r="F9">
        <v>136.1</v>
      </c>
      <c r="G9">
        <v>107.14</v>
      </c>
    </row>
    <row r="10" spans="1:7" x14ac:dyDescent="0.3">
      <c r="A10" s="5" t="s">
        <v>31</v>
      </c>
      <c r="B10" s="10">
        <f>B9/B8 - 1</f>
        <v>0.33360386593147884</v>
      </c>
      <c r="C10" s="10">
        <f>C9/C8 - 1</f>
        <v>-2.4048897525530633E-2</v>
      </c>
      <c r="D10" s="10">
        <f>D9/D8 - 1</f>
        <v>-2.9857333295692956E-2</v>
      </c>
    </row>
    <row r="11" spans="1:7" x14ac:dyDescent="0.3">
      <c r="A11" s="5" t="s">
        <v>32</v>
      </c>
      <c r="B11">
        <f>($A9-$A8) / 365.3</f>
        <v>10</v>
      </c>
      <c r="C11">
        <f>($A9-$A8) / 365.3</f>
        <v>10</v>
      </c>
      <c r="D11">
        <f>($A9-$A8) / 365.3</f>
        <v>10</v>
      </c>
    </row>
    <row r="12" spans="1:7" x14ac:dyDescent="0.3">
      <c r="A12" s="42" t="s">
        <v>38</v>
      </c>
      <c r="B12" s="43">
        <f>(B9/B8)^(1/B11) - 1</f>
        <v>2.9206889185741547E-2</v>
      </c>
      <c r="C12" s="43">
        <f>(C9/C8)^(1/C11) - 1</f>
        <v>-2.4313189194204998E-3</v>
      </c>
      <c r="D12" s="43">
        <f>(D9/D8)^(1/D11) - 1</f>
        <v>-3.0266244318092328E-3</v>
      </c>
    </row>
    <row r="14" spans="1:7" x14ac:dyDescent="0.3">
      <c r="A14" s="42" t="s">
        <v>60</v>
      </c>
    </row>
    <row r="15" spans="1:7" x14ac:dyDescent="0.3">
      <c r="A15" t="s">
        <v>29</v>
      </c>
      <c r="B15" s="41" t="s">
        <v>57</v>
      </c>
    </row>
    <row r="16" spans="1:7" x14ac:dyDescent="0.3">
      <c r="A16" t="s">
        <v>58</v>
      </c>
      <c r="B16" s="41" t="s">
        <v>59</v>
      </c>
    </row>
    <row r="17" spans="1:2" x14ac:dyDescent="0.3">
      <c r="A17" s="5" t="s">
        <v>61</v>
      </c>
      <c r="B17" s="41" t="s">
        <v>62</v>
      </c>
    </row>
  </sheetData>
  <hyperlinks>
    <hyperlink ref="B15" r:id="rId1" xr:uid="{842BBC83-723A-498F-8FFB-31E4604BC485}"/>
    <hyperlink ref="B16" r:id="rId2" xr:uid="{A54A086F-C7F9-4B2E-8CC8-6455C864D193}"/>
    <hyperlink ref="B17" r:id="rId3" xr:uid="{465FA595-3B72-420D-B5E1-8C1D3E3EB86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3B4DF-1687-4BA0-AE76-84EFA5B9F97E}">
  <dimension ref="A1:B3"/>
  <sheetViews>
    <sheetView workbookViewId="0">
      <selection activeCell="A4" sqref="A4"/>
    </sheetView>
  </sheetViews>
  <sheetFormatPr defaultRowHeight="14.4" x14ac:dyDescent="0.3"/>
  <cols>
    <col min="1" max="1" width="29.21875" customWidth="1"/>
  </cols>
  <sheetData>
    <row r="1" spans="1:2" x14ac:dyDescent="0.3">
      <c r="A1" t="s">
        <v>5</v>
      </c>
      <c r="B1">
        <v>72.13</v>
      </c>
    </row>
    <row r="2" spans="1:2" x14ac:dyDescent="0.3">
      <c r="A2" t="s">
        <v>6</v>
      </c>
      <c r="B2">
        <v>103.84</v>
      </c>
    </row>
    <row r="3" spans="1:2" x14ac:dyDescent="0.3">
      <c r="A3" t="s">
        <v>41</v>
      </c>
      <c r="B3" s="8">
        <v>0.19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GDV</vt:lpstr>
      <vt:lpstr>Historical growth</vt:lpstr>
      <vt:lpstr>Constants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Leigh</dc:creator>
  <cp:lastModifiedBy>Edward Leigh</cp:lastModifiedBy>
  <dcterms:created xsi:type="dcterms:W3CDTF">2025-09-10T23:06:50Z</dcterms:created>
  <dcterms:modified xsi:type="dcterms:W3CDTF">2025-10-05T18:00:07Z</dcterms:modified>
</cp:coreProperties>
</file>